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docs.live.net/71b9f040fa7f7774/WSH/2023/country files/"/>
    </mc:Choice>
  </mc:AlternateContent>
  <xr:revisionPtr revIDLastSave="0" documentId="13_ncr:1_{5FE370CB-0D5B-5640-B722-B62DEB9680B0}" xr6:coauthVersionLast="47" xr6:coauthVersionMax="47" xr10:uidLastSave="{00000000-0000-0000-0000-000000000000}"/>
  <bookViews>
    <workbookView xWindow="29190" yWindow="390" windowWidth="21450" windowHeight="15480" tabRatio="765"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F15" i="16"/>
  <c r="E15" i="16"/>
  <c r="E14" i="16"/>
  <c r="E13" i="16"/>
  <c r="E12" i="16"/>
  <c r="E11" i="16"/>
  <c r="E10" i="16"/>
  <c r="E9" i="16"/>
  <c r="E8"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A1" i="18"/>
  <c r="B13" i="17"/>
  <c r="B12" i="17"/>
  <c r="B11" i="17"/>
  <c r="B10" i="17"/>
  <c r="B9" i="17"/>
  <c r="A9" i="17"/>
  <c r="C7" i="17"/>
  <c r="A7" i="17"/>
  <c r="C6" i="17"/>
  <c r="A6" i="17"/>
  <c r="C5" i="17"/>
  <c r="A5" i="17"/>
  <c r="C4" i="17"/>
  <c r="A4" i="17"/>
  <c r="H3" i="17"/>
  <c r="E3" i="17"/>
  <c r="B3" i="17"/>
  <c r="A3" i="17"/>
  <c r="A2" i="17"/>
  <c r="A1" i="17"/>
  <c r="B30" i="15"/>
  <c r="B29" i="15"/>
  <c r="B28" i="15"/>
  <c r="B27" i="15"/>
  <c r="B26" i="15"/>
  <c r="A26" i="15"/>
  <c r="A23" i="15"/>
  <c r="F22" i="15"/>
  <c r="F21" i="15"/>
  <c r="E21" i="15"/>
  <c r="D21" i="15"/>
  <c r="B21" i="15"/>
  <c r="F20" i="15"/>
  <c r="E20" i="15"/>
  <c r="D20" i="15"/>
  <c r="B20" i="15"/>
  <c r="A19" i="15"/>
  <c r="F18" i="15"/>
  <c r="E18" i="15"/>
  <c r="D18" i="15"/>
  <c r="B18" i="15"/>
  <c r="F17" i="15"/>
  <c r="E17" i="15"/>
  <c r="D17" i="15"/>
  <c r="B17" i="15"/>
  <c r="F16" i="15"/>
  <c r="E16" i="15"/>
  <c r="D16" i="15"/>
  <c r="B16" i="15"/>
  <c r="F15" i="15"/>
  <c r="E15" i="15"/>
  <c r="D15" i="15"/>
  <c r="B15" i="15"/>
  <c r="A14" i="15"/>
  <c r="F13" i="15"/>
  <c r="E13" i="15"/>
  <c r="D13" i="15"/>
  <c r="B13" i="15"/>
  <c r="E12" i="15"/>
  <c r="B12" i="15"/>
  <c r="F11" i="15"/>
  <c r="E11" i="15"/>
  <c r="B11" i="15"/>
  <c r="A10" i="15"/>
  <c r="F9" i="15"/>
  <c r="E9" i="15"/>
  <c r="D9" i="15"/>
  <c r="B9" i="15"/>
  <c r="F8" i="15"/>
  <c r="E8" i="15"/>
  <c r="D8" i="15"/>
  <c r="B8" i="15"/>
  <c r="F7" i="15"/>
  <c r="E7" i="15"/>
  <c r="D7" i="15"/>
  <c r="B7" i="15"/>
  <c r="E6" i="15"/>
  <c r="B6" i="15"/>
  <c r="F5" i="15"/>
  <c r="E5" i="15"/>
  <c r="B5" i="15"/>
  <c r="A4" i="15"/>
  <c r="G3" i="15"/>
  <c r="F3" i="15"/>
  <c r="E3" i="15"/>
  <c r="D3" i="15"/>
  <c r="C3" i="15"/>
  <c r="A3" i="15"/>
  <c r="A2" i="15"/>
  <c r="A1"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C9" i="9"/>
  <c r="A9" i="9"/>
  <c r="G8" i="9"/>
  <c r="D8" i="9"/>
  <c r="C8" i="9"/>
  <c r="A8" i="9"/>
  <c r="G7" i="9"/>
  <c r="D7" i="9"/>
  <c r="C7" i="9"/>
  <c r="F8" i="9" s="1"/>
  <c r="A7" i="9"/>
  <c r="G6" i="9"/>
  <c r="F6" i="9"/>
  <c r="D6" i="9"/>
  <c r="C6" i="9"/>
  <c r="F7" i="9" s="1"/>
  <c r="A6" i="9"/>
  <c r="G5" i="9"/>
  <c r="D5" i="9"/>
  <c r="C5" i="9"/>
  <c r="A5" i="9"/>
  <c r="H4" i="9"/>
  <c r="E4" i="9"/>
  <c r="D4" i="9"/>
  <c r="C4" i="9"/>
  <c r="B4" i="9"/>
  <c r="A4" i="9"/>
  <c r="E3" i="9"/>
  <c r="A3" i="9"/>
  <c r="M2" i="9"/>
  <c r="L2" i="9"/>
  <c r="K2" i="9"/>
  <c r="J2" i="9"/>
  <c r="I2" i="9"/>
  <c r="H2" i="9"/>
  <c r="G2" i="9"/>
  <c r="F2" i="9"/>
  <c r="E2" i="9"/>
  <c r="D2" i="9"/>
  <c r="C2" i="9"/>
  <c r="B2" i="9"/>
  <c r="A2" i="9"/>
  <c r="A1" i="9"/>
  <c r="B22" i="14"/>
  <c r="B21" i="14"/>
  <c r="B20" i="14"/>
  <c r="B19" i="14"/>
  <c r="B18" i="14"/>
  <c r="B17" i="14"/>
  <c r="A17" i="14"/>
  <c r="G15" i="14"/>
  <c r="F15" i="14"/>
  <c r="E15" i="14"/>
  <c r="B15" i="14"/>
  <c r="F14" i="14"/>
  <c r="E14" i="14"/>
  <c r="D14" i="14"/>
  <c r="B14" i="14"/>
  <c r="A13" i="14"/>
  <c r="F12" i="14"/>
  <c r="E12" i="14"/>
  <c r="B12" i="14"/>
  <c r="F11" i="14"/>
  <c r="E11" i="14"/>
  <c r="D11" i="14"/>
  <c r="B11" i="14"/>
  <c r="F10" i="14"/>
  <c r="E10" i="14"/>
  <c r="D10" i="14"/>
  <c r="B10" i="14"/>
  <c r="A9" i="14"/>
  <c r="F8" i="14"/>
  <c r="E8" i="14"/>
  <c r="D8" i="14"/>
  <c r="B8" i="14"/>
  <c r="F7" i="14"/>
  <c r="E7" i="14"/>
  <c r="D7" i="14"/>
  <c r="D12" i="14" s="1"/>
  <c r="B7" i="14"/>
  <c r="A6" i="14"/>
  <c r="F5" i="14"/>
  <c r="E5" i="14"/>
  <c r="D5" i="14" a="1"/>
  <c r="D5" i="14"/>
  <c r="A5" i="14"/>
  <c r="G4" i="14"/>
  <c r="F4" i="14"/>
  <c r="E4" i="14"/>
  <c r="D4" i="14"/>
  <c r="C4" i="14"/>
  <c r="A4" i="14"/>
  <c r="A2" i="14"/>
  <c r="A1"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E29" i="21"/>
  <c r="D29" i="21"/>
  <c r="C29" i="21"/>
  <c r="B29" i="21"/>
  <c r="A29" i="21"/>
  <c r="M28" i="21"/>
  <c r="L28" i="21"/>
  <c r="K28" i="21"/>
  <c r="J28" i="21"/>
  <c r="I28" i="21"/>
  <c r="H28" i="21"/>
  <c r="G28" i="21"/>
  <c r="F28" i="21"/>
  <c r="E28" i="21"/>
  <c r="D28" i="21"/>
  <c r="C28" i="21"/>
  <c r="B28" i="21"/>
  <c r="A28" i="21"/>
  <c r="M27" i="21"/>
  <c r="L27" i="21"/>
  <c r="K27" i="21"/>
  <c r="J27" i="21"/>
  <c r="I27" i="21"/>
  <c r="H27" i="21"/>
  <c r="G27" i="21"/>
  <c r="F27" i="21"/>
  <c r="E27" i="21"/>
  <c r="D27" i="21"/>
  <c r="C27" i="21"/>
  <c r="B27" i="21"/>
  <c r="A27" i="21"/>
  <c r="M26" i="21"/>
  <c r="L26" i="21"/>
  <c r="K26" i="21"/>
  <c r="J26" i="21"/>
  <c r="I26" i="21"/>
  <c r="H26" i="21"/>
  <c r="G26" i="21"/>
  <c r="F26" i="21"/>
  <c r="E26" i="21"/>
  <c r="D26" i="21"/>
  <c r="C26" i="21"/>
  <c r="B26" i="21"/>
  <c r="A26" i="21"/>
  <c r="M25" i="21"/>
  <c r="L25" i="21"/>
  <c r="K25" i="21"/>
  <c r="J25" i="21"/>
  <c r="I25" i="21"/>
  <c r="H25" i="21"/>
  <c r="G25" i="21"/>
  <c r="F25" i="21"/>
  <c r="E25" i="21"/>
  <c r="D25" i="21"/>
  <c r="C25" i="21"/>
  <c r="B25" i="21"/>
  <c r="A25" i="21"/>
  <c r="M24" i="21"/>
  <c r="L24" i="21"/>
  <c r="K24" i="21"/>
  <c r="J24" i="21"/>
  <c r="I24" i="21"/>
  <c r="H24" i="21"/>
  <c r="G24" i="21"/>
  <c r="F24" i="21"/>
  <c r="E24" i="21"/>
  <c r="D24" i="21"/>
  <c r="C24" i="21"/>
  <c r="B24" i="21"/>
  <c r="A24" i="21"/>
  <c r="M23" i="21"/>
  <c r="L23" i="21"/>
  <c r="K23" i="21"/>
  <c r="J23" i="21"/>
  <c r="I23" i="21"/>
  <c r="H23" i="21"/>
  <c r="G23" i="21"/>
  <c r="F23" i="21"/>
  <c r="E23" i="21"/>
  <c r="D23" i="21"/>
  <c r="C23" i="21"/>
  <c r="B23" i="21"/>
  <c r="A23" i="21"/>
  <c r="M22" i="21"/>
  <c r="L22" i="21"/>
  <c r="K22" i="21"/>
  <c r="J22" i="21"/>
  <c r="I22" i="21"/>
  <c r="H22" i="21"/>
  <c r="G22" i="21"/>
  <c r="F22" i="21"/>
  <c r="E22" i="21"/>
  <c r="D22" i="21"/>
  <c r="C22" i="21"/>
  <c r="B22" i="21"/>
  <c r="A22" i="21"/>
  <c r="M21" i="21"/>
  <c r="L21" i="21"/>
  <c r="K21" i="21"/>
  <c r="J21" i="21"/>
  <c r="I21" i="21"/>
  <c r="H21" i="21"/>
  <c r="G21" i="21"/>
  <c r="F21" i="21"/>
  <c r="E21" i="21"/>
  <c r="D21" i="21"/>
  <c r="C21" i="21"/>
  <c r="B21" i="21"/>
  <c r="A21" i="21"/>
  <c r="M20" i="21"/>
  <c r="L20" i="21"/>
  <c r="K20" i="21"/>
  <c r="J20" i="21"/>
  <c r="I20" i="21"/>
  <c r="H20" i="21"/>
  <c r="G20" i="21"/>
  <c r="F20" i="2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F16" i="21"/>
  <c r="C6" i="16" s="1"/>
  <c r="E16" i="21"/>
  <c r="D16" i="21"/>
  <c r="C16" i="21"/>
  <c r="B16" i="21"/>
  <c r="A16" i="21"/>
  <c r="M15" i="21"/>
  <c r="L15" i="21"/>
  <c r="K15" i="21"/>
  <c r="J15" i="21"/>
  <c r="I15" i="21"/>
  <c r="H15" i="21"/>
  <c r="G15" i="21"/>
  <c r="E15" i="21"/>
  <c r="D15" i="21"/>
  <c r="C15" i="21"/>
  <c r="B15" i="21"/>
  <c r="A15" i="21"/>
  <c r="M14" i="21"/>
  <c r="L14" i="21"/>
  <c r="K14" i="21"/>
  <c r="J14" i="21"/>
  <c r="I14" i="21"/>
  <c r="H14" i="21"/>
  <c r="G14" i="21"/>
  <c r="F14" i="21"/>
  <c r="E14" i="21"/>
  <c r="D14" i="21"/>
  <c r="C14" i="21"/>
  <c r="B14" i="21"/>
  <c r="A14" i="21"/>
  <c r="M13" i="21"/>
  <c r="L13" i="21"/>
  <c r="K13" i="21"/>
  <c r="J13" i="21"/>
  <c r="I13" i="21"/>
  <c r="H13" i="21"/>
  <c r="G13" i="21"/>
  <c r="F13" i="21"/>
  <c r="E13" i="21"/>
  <c r="D13" i="21"/>
  <c r="C13" i="21"/>
  <c r="B13" i="21"/>
  <c r="A13" i="21"/>
  <c r="M12" i="21"/>
  <c r="L12" i="21"/>
  <c r="K12" i="21"/>
  <c r="J12" i="21"/>
  <c r="I12" i="21"/>
  <c r="H12" i="21"/>
  <c r="G12" i="21"/>
  <c r="F12" i="21"/>
  <c r="E12" i="21"/>
  <c r="D12" i="21"/>
  <c r="C12" i="21"/>
  <c r="B12" i="21"/>
  <c r="A12" i="21"/>
  <c r="M11" i="21"/>
  <c r="L11" i="21"/>
  <c r="K11" i="21"/>
  <c r="J11" i="21"/>
  <c r="I11" i="21"/>
  <c r="H11" i="21"/>
  <c r="G11" i="21"/>
  <c r="F11" i="21"/>
  <c r="E11" i="21"/>
  <c r="D11" i="21"/>
  <c r="C11" i="21"/>
  <c r="B11" i="21"/>
  <c r="A11" i="21"/>
  <c r="M10" i="21"/>
  <c r="L10" i="21"/>
  <c r="K10" i="21"/>
  <c r="J10" i="21"/>
  <c r="I10" i="21"/>
  <c r="H10" i="21"/>
  <c r="G10" i="21"/>
  <c r="F10" i="21"/>
  <c r="E10" i="21"/>
  <c r="D10" i="21"/>
  <c r="C10" i="21"/>
  <c r="B10" i="21"/>
  <c r="A10" i="21"/>
  <c r="M9" i="21"/>
  <c r="L9" i="21"/>
  <c r="K9" i="21"/>
  <c r="J9" i="21"/>
  <c r="I9" i="21"/>
  <c r="H9" i="21"/>
  <c r="G9" i="21"/>
  <c r="E9" i="21"/>
  <c r="D9" i="21"/>
  <c r="C9" i="21"/>
  <c r="B9" i="21"/>
  <c r="A9" i="21"/>
  <c r="M8" i="21"/>
  <c r="L8" i="21"/>
  <c r="K8" i="21"/>
  <c r="J8" i="21"/>
  <c r="I8" i="21"/>
  <c r="H8" i="21"/>
  <c r="G8" i="21"/>
  <c r="F8" i="21"/>
  <c r="E8" i="21"/>
  <c r="D8" i="21"/>
  <c r="C8" i="21"/>
  <c r="B8" i="21"/>
  <c r="A8" i="21"/>
  <c r="M7" i="21"/>
  <c r="L7" i="21"/>
  <c r="K7" i="21"/>
  <c r="J7" i="21"/>
  <c r="I7" i="21"/>
  <c r="H7" i="21"/>
  <c r="G7" i="21"/>
  <c r="E7" i="21"/>
  <c r="D7" i="21"/>
  <c r="C7" i="21"/>
  <c r="B7" i="21"/>
  <c r="A7" i="21"/>
  <c r="M6" i="21"/>
  <c r="L6" i="21"/>
  <c r="K6" i="21"/>
  <c r="J6" i="21"/>
  <c r="I6" i="21"/>
  <c r="H6" i="21"/>
  <c r="G6" i="21"/>
  <c r="F6" i="21"/>
  <c r="E6" i="21"/>
  <c r="D6" i="21"/>
  <c r="C6" i="21"/>
  <c r="B6" i="21"/>
  <c r="A6" i="21"/>
  <c r="M5" i="21"/>
  <c r="L5" i="21"/>
  <c r="K5" i="21"/>
  <c r="J5" i="21"/>
  <c r="I5" i="21"/>
  <c r="H5" i="21"/>
  <c r="G5" i="21"/>
  <c r="F5" i="21"/>
  <c r="E5" i="21"/>
  <c r="D5" i="21"/>
  <c r="C5" i="21"/>
  <c r="B5" i="21"/>
  <c r="A5" i="21"/>
  <c r="M4" i="21"/>
  <c r="L4" i="21"/>
  <c r="K4" i="21"/>
  <c r="J4" i="21"/>
  <c r="I4" i="21"/>
  <c r="H4" i="21"/>
  <c r="G4" i="21"/>
  <c r="F4" i="21"/>
  <c r="E4" i="21"/>
  <c r="D4" i="21"/>
  <c r="C4" i="21"/>
  <c r="B4" i="21"/>
  <c r="A4" i="21"/>
  <c r="M3" i="21"/>
  <c r="L3" i="21"/>
  <c r="K3" i="21"/>
  <c r="J3" i="21"/>
  <c r="I3" i="21"/>
  <c r="H3" i="21"/>
  <c r="G3" i="21"/>
  <c r="F3" i="21"/>
  <c r="E3" i="21"/>
  <c r="D3" i="21"/>
  <c r="C3" i="21"/>
  <c r="B3" i="21"/>
  <c r="A3" i="21"/>
  <c r="M2" i="21"/>
  <c r="L2" i="21"/>
  <c r="K2" i="21"/>
  <c r="J2" i="21"/>
  <c r="I2" i="21"/>
  <c r="H2" i="21"/>
  <c r="G2" i="21"/>
  <c r="F2" i="21"/>
  <c r="E2" i="21"/>
  <c r="D2" i="21"/>
  <c r="C2" i="21"/>
  <c r="B2" i="21"/>
  <c r="A2" i="21"/>
  <c r="M1" i="21"/>
  <c r="L1" i="21"/>
  <c r="K1" i="21"/>
  <c r="J1" i="21"/>
  <c r="I1" i="21"/>
  <c r="H1" i="21"/>
  <c r="G1" i="21"/>
  <c r="F1" i="21"/>
  <c r="E1" i="21"/>
  <c r="D1" i="21"/>
  <c r="C1" i="21"/>
  <c r="B1" i="21"/>
  <c r="A1" i="21"/>
  <c r="A2" i="2" a="1"/>
  <c r="A2" i="2"/>
  <c r="C24" i="1"/>
  <c r="C23" i="1"/>
  <c r="C22" i="1"/>
  <c r="C21" i="1"/>
  <c r="C20" i="1"/>
  <c r="C18" i="1"/>
  <c r="C16" i="1"/>
  <c r="C15" i="1"/>
  <c r="C13" i="1"/>
  <c r="C11" i="1"/>
  <c r="C9" i="1"/>
  <c r="C6" i="1"/>
  <c r="C5" i="1"/>
  <c r="C4" i="1"/>
  <c r="C3" i="1"/>
  <c r="D15" i="14" l="1"/>
  <c r="F7" i="21"/>
  <c r="C2" i="16" s="1"/>
  <c r="D2" i="16"/>
  <c r="F17" i="21"/>
  <c r="C7" i="16" s="1"/>
  <c r="D7" i="16"/>
  <c r="D8" i="16"/>
  <c r="F18" i="21"/>
  <c r="C8" i="16" s="1"/>
  <c r="F5" i="9"/>
  <c r="D11" i="15"/>
  <c r="B5" i="17"/>
  <c r="F9" i="9"/>
  <c r="D6" i="16"/>
  <c r="B6" i="17"/>
  <c r="F6" i="16" l="1"/>
  <c r="G6" i="16"/>
  <c r="F8" i="16"/>
  <c r="G8" i="16"/>
  <c r="F19" i="21"/>
  <c r="C9" i="16" s="1"/>
  <c r="D9" i="16"/>
  <c r="D11" i="16"/>
  <c r="H5" i="17"/>
  <c r="E5" i="17"/>
  <c r="F31" i="21"/>
  <c r="C11" i="16" s="1"/>
  <c r="B5" i="18"/>
  <c r="F7" i="16"/>
  <c r="G7" i="16"/>
  <c r="F10" i="9"/>
  <c r="H5" i="9" s="1"/>
  <c r="B4" i="17"/>
  <c r="D5" i="15"/>
  <c r="A25" i="15" s="1"/>
  <c r="F15" i="21"/>
  <c r="C5" i="16" s="1"/>
  <c r="A13" i="9"/>
  <c r="D5" i="16"/>
  <c r="F2" i="16"/>
  <c r="G2" i="16"/>
  <c r="B6" i="18"/>
  <c r="D12" i="16"/>
  <c r="H6" i="17"/>
  <c r="E6" i="17"/>
  <c r="F32" i="21"/>
  <c r="C12" i="16" s="1"/>
  <c r="D3" i="16"/>
  <c r="F9" i="21"/>
  <c r="H4" i="17" l="1"/>
  <c r="E4" i="17"/>
  <c r="F30" i="21"/>
  <c r="C10" i="16" s="1"/>
  <c r="B4" i="18"/>
  <c r="B7" i="17"/>
  <c r="D10" i="16"/>
  <c r="F11" i="16"/>
  <c r="G11" i="16"/>
  <c r="G9" i="16"/>
  <c r="F9" i="16"/>
  <c r="G5" i="16"/>
  <c r="F5" i="16"/>
  <c r="F35" i="21"/>
  <c r="H5" i="18"/>
  <c r="E5" i="18"/>
  <c r="D15" i="16"/>
  <c r="G15" i="16" s="1"/>
  <c r="D6" i="15"/>
  <c r="C3" i="16"/>
  <c r="C4" i="16"/>
  <c r="D4" i="16"/>
  <c r="G4" i="16" s="1"/>
  <c r="H8" i="9"/>
  <c r="H7" i="9"/>
  <c r="D12" i="15"/>
  <c r="H6" i="9"/>
  <c r="H10" i="9" s="1"/>
  <c r="F3" i="16"/>
  <c r="G3" i="16"/>
  <c r="H9" i="9"/>
  <c r="G12" i="16"/>
  <c r="F12" i="16"/>
  <c r="D16" i="16"/>
  <c r="F36" i="21"/>
  <c r="H6" i="18"/>
  <c r="E6" i="18"/>
  <c r="B8" i="18"/>
  <c r="F33" i="21" l="1"/>
  <c r="C13" i="16" s="1"/>
  <c r="E7" i="17"/>
  <c r="D13" i="16"/>
  <c r="F16" i="16"/>
  <c r="G10" i="16"/>
  <c r="F10" i="16"/>
  <c r="F39" i="21"/>
  <c r="C15" i="16"/>
  <c r="C16" i="16"/>
  <c r="G16" i="16" s="1"/>
  <c r="F40" i="21"/>
  <c r="H4" i="18"/>
  <c r="D14" i="16"/>
  <c r="B7" i="18"/>
  <c r="E4" i="18"/>
  <c r="E7" i="18" s="1"/>
  <c r="F34" i="21"/>
  <c r="D17" i="16" l="1"/>
  <c r="F37" i="21"/>
  <c r="C17" i="16" s="1"/>
  <c r="F14" i="16"/>
  <c r="G13" i="16"/>
  <c r="F13" i="16"/>
  <c r="C14" i="16"/>
  <c r="G14" i="16" s="1"/>
  <c r="F38" i="21"/>
  <c r="F41" i="21" s="1"/>
  <c r="C8" i="1" s="1"/>
  <c r="G17" i="16" l="1"/>
  <c r="F17"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<sst xmlns="http://schemas.openxmlformats.org/spreadsheetml/2006/main" count="4497" uniqueCount="2314">
  <si>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</si>
  <si>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</si>
  <si>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</si>
  <si>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</si>
  <si>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</si>
  <si>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</si>
  <si>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</si>
  <si>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</si>
  <si>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</si>
  <si>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</si>
  <si>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</si>
  <si>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</si>
  <si>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</si>
  <si>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</si>
  <si>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</si>
  <si>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</si>
  <si>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</si>
  <si>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</si>
  <si>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</si>
  <si>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</si>
  <si>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</si>
  <si>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</si>
  <si>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</si>
  <si>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</si>
  <si>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</si>
  <si>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</si>
  <si>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</si>
  <si>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</si>
  <si>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</si>
  <si>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</si>
  <si>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</si>
  <si>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</si>
  <si>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</si>
  <si>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</si>
  <si>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</si>
  <si>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</si>
  <si>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</si>
  <si>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</si>
  <si>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</si>
  <si>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</si>
  <si>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</si>
  <si>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</si>
  <si>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</si>
  <si>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</si>
  <si>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</si>
  <si>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</si>
  <si>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</si>
  <si>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</si>
  <si>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</si>
  <si>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</si>
  <si>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</si>
  <si>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</si>
  <si>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</si>
  <si>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</si>
  <si>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</si>
  <si>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</si>
  <si>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</si>
  <si>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</si>
  <si>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</si>
  <si>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</si>
  <si>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</si>
  <si>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</si>
  <si>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</si>
  <si>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</si>
  <si>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</si>
  <si>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</si>
  <si>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</si>
  <si>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</si>
  <si>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</si>
  <si>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</si>
  <si>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</si>
  <si>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</si>
  <si>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</si>
  <si>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</si>
  <si>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</si>
  <si>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</si>
  <si>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</si>
  <si>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</si>
  <si>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</si>
  <si>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</si>
  <si>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</si>
  <si>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</si>
  <si>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</si>
  <si>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</si>
  <si>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</si>
  <si>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</si>
  <si>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</si>
  <si>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</si>
  <si>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</si>
  <si>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</si>
  <si>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</si>
  <si>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</si>
  <si>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</si>
  <si>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</si>
  <si>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</si>
  <si>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</si>
  <si>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</si>
  <si>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</si>
  <si>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</si>
  <si>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</si>
  <si>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</si>
  <si>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</si>
  <si>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</si>
  <si>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</si>
  <si>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</si>
  <si>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</si>
  <si>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</si>
  <si>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</si>
  <si>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</si>
  <si>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</si>
  <si>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</si>
  <si>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</si>
  <si>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</si>
  <si>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</si>
  <si>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</si>
  <si>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</si>
  <si>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</si>
  <si>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</si>
  <si>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</si>
  <si>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</si>
  <si>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</si>
  <si>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</si>
  <si>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</si>
  <si>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</si>
  <si>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</si>
  <si>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</si>
  <si>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</si>
  <si>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</si>
  <si>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</si>
  <si>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</si>
  <si>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</si>
  <si>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</si>
  <si>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</si>
  <si>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</si>
  <si>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</si>
  <si>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</si>
  <si>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</si>
  <si>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</si>
  <si>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</si>
  <si>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</si>
  <si>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</si>
  <si>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</si>
  <si>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</si>
  <si>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</si>
  <si>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</si>
  <si>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</si>
  <si>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</si>
  <si>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</si>
  <si>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</si>
  <si>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</si>
  <si>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</si>
  <si>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</si>
  <si>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</si>
  <si>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</si>
  <si>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</si>
  <si>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</si>
  <si>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</si>
  <si>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</si>
  <si>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</si>
  <si>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</si>
  <si>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</si>
  <si>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</si>
  <si>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</si>
  <si>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</si>
  <si>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</si>
  <si>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</si>
  <si>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</si>
  <si>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</si>
  <si>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</si>
  <si>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</si>
  <si>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</si>
  <si>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</si>
  <si>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</si>
  <si>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</si>
  <si>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</si>
  <si>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</si>
  <si>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</si>
  <si>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</si>
  <si>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</si>
  <si>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</si>
  <si>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</si>
  <si>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</si>
  <si>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</si>
  <si>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</si>
  <si>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</si>
  <si>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</si>
  <si>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</si>
  <si>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</si>
  <si>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</si>
  <si>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</si>
  <si>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</si>
  <si>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</si>
  <si>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</si>
  <si>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</si>
  <si>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</si>
  <si>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</si>
  <si>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</si>
  <si>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</si>
  <si>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</si>
  <si>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</si>
  <si>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</si>
  <si>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</si>
  <si>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</si>
  <si>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</si>
  <si>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</si>
  <si>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</si>
  <si>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</si>
  <si>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</si>
  <si>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</si>
  <si>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</si>
  <si>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</si>
  <si>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</si>
  <si>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</si>
  <si>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</si>
  <si>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</si>
  <si>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</si>
  <si>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</si>
  <si>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</si>
  <si>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</si>
  <si>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</si>
  <si>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</si>
  <si>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</si>
  <si>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</si>
  <si>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</si>
  <si>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</si>
  <si>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</si>
  <si>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</si>
  <si>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</si>
  <si>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</si>
  <si>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</si>
  <si>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</si>
  <si>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</si>
  <si>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</si>
  <si>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</si>
  <si>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</si>
  <si>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</si>
  <si>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</si>
  <si>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</si>
  <si>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</si>
  <si>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</si>
  <si>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</si>
  <si>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</si>
  <si>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</si>
  <si>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</si>
  <si>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</si>
  <si>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</si>
  <si>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</si>
  <si>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</si>
  <si>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</si>
  <si>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</si>
  <si>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</si>
  <si>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</si>
  <si>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</si>
  <si>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</si>
  <si>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</si>
  <si>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</si>
  <si>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</si>
  <si>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</si>
  <si>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</si>
  <si>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</si>
  <si>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</si>
  <si>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</si>
  <si>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</si>
  <si>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</si>
  <si>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</si>
  <si>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</si>
  <si>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</si>
  <si>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</si>
  <si>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</si>
  <si>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</si>
  <si>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</si>
  <si>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</si>
  <si>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</si>
  <si>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</si>
  <si>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</si>
  <si>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</si>
  <si>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</si>
  <si>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</si>
  <si>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</si>
  <si>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</si>
  <si>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</si>
  <si>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</si>
  <si>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</si>
  <si>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</si>
  <si>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</si>
  <si>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</si>
  <si>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</si>
  <si>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</si>
  <si>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</si>
  <si>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</si>
  <si>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</si>
  <si>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</si>
  <si>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</si>
  <si>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</si>
  <si>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</si>
  <si>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</si>
  <si>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</si>
  <si>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</si>
  <si>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</si>
  <si>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</si>
  <si>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</si>
  <si>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</si>
  <si>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</si>
  <si>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</si>
  <si>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</si>
  <si>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</si>
  <si>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</si>
  <si>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</si>
  <si>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</si>
  <si>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</si>
  <si>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</si>
  <si>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</si>
  <si>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</si>
  <si>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</si>
  <si>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</si>
  <si>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</si>
  <si>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</si>
  <si>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</si>
  <si>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</si>
  <si>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</si>
  <si>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</si>
  <si>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</si>
  <si>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</si>
  <si>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</si>
  <si>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</si>
  <si>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</si>
  <si>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</si>
  <si>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</si>
  <si>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</si>
  <si>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</si>
  <si>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</si>
  <si>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</si>
  <si>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</si>
  <si>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</si>
  <si>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</si>
  <si>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</si>
  <si>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</si>
  <si>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</si>
  <si>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</si>
  <si>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</si>
  <si>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</si>
  <si>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</si>
  <si>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</si>
  <si>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</si>
  <si>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</si>
  <si>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</si>
  <si>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</si>
  <si>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</si>
  <si>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</si>
  <si>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</si>
  <si>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</si>
  <si>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</si>
  <si>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</si>
  <si>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</si>
  <si>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</si>
  <si>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</si>
  <si>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</si>
  <si>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</si>
  <si>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</si>
  <si>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</si>
  <si>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</si>
  <si>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</si>
  <si>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</si>
  <si>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</si>
  <si>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</si>
  <si>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</si>
  <si>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</si>
  <si>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</si>
  <si>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</si>
  <si>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</si>
  <si>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</si>
  <si>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</si>
  <si>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</si>
  <si>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</si>
  <si>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</si>
  <si>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</si>
  <si>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</si>
  <si>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</si>
  <si>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</si>
  <si>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</si>
  <si>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</si>
  <si>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</si>
  <si>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</si>
  <si>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</si>
  <si>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</si>
  <si>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</si>
  <si>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</si>
  <si>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</si>
  <si>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</si>
  <si>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</si>
  <si>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</si>
  <si>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</si>
  <si>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</si>
  <si>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</si>
  <si>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</si>
  <si>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</si>
  <si>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</si>
  <si>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</si>
  <si>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</si>
  <si>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</si>
  <si>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</si>
  <si>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</si>
  <si>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</si>
  <si>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</si>
  <si>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</si>
  <si>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</si>
  <si>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</si>
  <si>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</si>
  <si>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</si>
  <si>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</si>
  <si>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</si>
  <si>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</si>
  <si>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</si>
  <si>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</si>
  <si>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</si>
  <si>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</si>
  <si>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</si>
  <si>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</si>
  <si>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</si>
  <si>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</si>
  <si>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</si>
  <si>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</si>
  <si>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</si>
  <si>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</si>
  <si>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</si>
  <si>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</si>
  <si>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</si>
  <si>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</si>
  <si>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</si>
  <si>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</si>
  <si>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</si>
  <si>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</si>
  <si>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</si>
  <si>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</si>
  <si>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</si>
  <si>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</si>
  <si>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</si>
  <si>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</si>
  <si>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</si>
  <si>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</si>
  <si>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</si>
  <si>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</si>
  <si>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</si>
  <si>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</si>
  <si>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</si>
  <si>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</si>
  <si>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</si>
  <si>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</si>
  <si>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</si>
  <si>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</si>
  <si>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</si>
  <si>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</si>
  <si>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</si>
  <si>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</si>
  <si>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</si>
  <si>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</si>
  <si>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</si>
  <si>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</si>
  <si>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</si>
  <si>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</si>
  <si>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</si>
  <si>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</si>
  <si>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</si>
  <si>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</si>
  <si>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</si>
  <si>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</si>
  <si>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</si>
  <si>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</si>
  <si>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</si>
  <si>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</si>
  <si>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</si>
  <si>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</si>
  <si>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</si>
  <si>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</si>
  <si>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</si>
  <si>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</si>
  <si>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</si>
  <si>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</si>
  <si>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</si>
  <si>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</si>
  <si>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</si>
  <si>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</si>
  <si>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</si>
  <si>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</si>
  <si>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</si>
  <si>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</si>
  <si>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</si>
  <si>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</si>
  <si>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</si>
  <si>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</si>
  <si>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</si>
  <si>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</si>
  <si>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</si>
  <si>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</si>
  <si>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</si>
  <si>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</si>
  <si>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</si>
  <si>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</si>
  <si>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</si>
  <si>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</si>
  <si>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</si>
  <si>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</si>
  <si>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</si>
  <si>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</si>
  <si>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</si>
  <si>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</si>
  <si>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</si>
  <si>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</si>
  <si>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</si>
  <si>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</si>
  <si>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</si>
  <si>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</si>
  <si>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</si>
  <si>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</si>
  <si>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</si>
  <si>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</si>
  <si>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</si>
  <si>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</si>
  <si>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</si>
  <si>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</si>
  <si>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</si>
  <si>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</si>
  <si>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</si>
  <si>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</si>
  <si>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</si>
  <si>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</si>
  <si>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</si>
  <si>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</si>
  <si>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</si>
  <si>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</si>
  <si>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</si>
  <si>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</si>
  <si>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</si>
  <si>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</si>
  <si>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</si>
  <si>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</si>
  <si>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</si>
  <si>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</si>
  <si>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</si>
  <si>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</si>
  <si>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</si>
  <si>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</si>
  <si>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</si>
  <si>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</si>
  <si>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</si>
  <si>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</si>
  <si>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</si>
  <si>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</si>
  <si>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</si>
  <si>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</si>
  <si>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</si>
  <si>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</si>
  <si>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</si>
  <si>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</si>
  <si>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</si>
  <si>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</si>
  <si>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</si>
  <si>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</si>
  <si>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</si>
  <si>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</si>
  <si>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</si>
  <si>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</si>
  <si>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</si>
  <si>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</si>
  <si>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</si>
  <si>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</si>
  <si>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</si>
  <si>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</si>
  <si>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</si>
  <si>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</si>
  <si>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</si>
  <si>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</si>
  <si>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</si>
  <si>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</si>
  <si>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</si>
  <si>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</si>
  <si>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</si>
  <si>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</si>
  <si>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</si>
  <si>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</si>
  <si>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</si>
  <si>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</si>
  <si>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</si>
  <si>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</si>
  <si>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</si>
  <si>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</si>
  <si>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</si>
  <si>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</si>
  <si>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</si>
  <si>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</si>
  <si>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</si>
  <si>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</si>
  <si>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</si>
  <si>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</si>
  <si>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</si>
  <si>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</si>
  <si>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</si>
  <si>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</si>
  <si>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</si>
  <si>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</si>
  <si>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</si>
  <si>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</si>
  <si>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</si>
  <si>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</si>
  <si>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</si>
  <si>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</si>
  <si>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</si>
  <si>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</si>
  <si>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</si>
  <si>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</si>
  <si>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</si>
  <si>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</si>
  <si>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</si>
  <si>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</si>
  <si>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</si>
  <si>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</si>
  <si>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</si>
  <si>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</si>
  <si>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</si>
  <si>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</si>
  <si>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</si>
  <si>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</si>
  <si>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</si>
  <si>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</si>
  <si>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</si>
  <si>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</si>
  <si>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</si>
  <si>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</si>
  <si>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</si>
  <si>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</si>
  <si>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</si>
  <si>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</si>
  <si>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</si>
  <si>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</si>
  <si>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</si>
  <si>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</si>
  <si>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</si>
  <si>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</si>
  <si>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</si>
  <si>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</si>
  <si>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</si>
  <si>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</si>
  <si>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</si>
  <si>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</si>
  <si>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</si>
  <si>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</si>
  <si>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</si>
  <si>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</si>
  <si>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</si>
  <si>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</si>
  <si>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</si>
  <si>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</si>
  <si>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</si>
  <si>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</si>
  <si>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</si>
  <si>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</si>
  <si>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</si>
  <si>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</si>
  <si>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</si>
  <si>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</si>
  <si>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</si>
  <si>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</si>
  <si>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</si>
  <si>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</si>
  <si>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</si>
  <si>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</si>
  <si>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</si>
  <si>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</si>
  <si>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</si>
  <si>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</si>
  <si>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</si>
  <si>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</si>
  <si>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</si>
  <si>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</si>
  <si>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</si>
  <si>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</si>
  <si>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</si>
  <si>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</si>
  <si>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</si>
  <si>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</si>
  <si>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</si>
  <si>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</si>
  <si>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</si>
  <si>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</si>
  <si>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</si>
  <si>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</si>
  <si>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</si>
  <si>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</si>
  <si>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</si>
  <si>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</si>
  <si>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</si>
  <si>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</si>
  <si>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</si>
  <si>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</si>
  <si>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</si>
  <si>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</si>
  <si>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</si>
  <si>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</si>
  <si>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</si>
  <si>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</si>
  <si>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</si>
  <si>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</si>
  <si>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</si>
  <si>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</si>
  <si>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</si>
  <si>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</si>
  <si>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</si>
  <si>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</si>
  <si>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</si>
  <si>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</si>
  <si>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</si>
  <si>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</si>
  <si>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</si>
  <si>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</si>
  <si>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</si>
  <si>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</si>
  <si>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</si>
  <si>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</si>
  <si>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</si>
  <si>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</si>
  <si>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</si>
  <si>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</si>
  <si>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</si>
  <si>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</si>
  <si>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</si>
  <si>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</si>
  <si>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</si>
  <si>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</si>
  <si>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</si>
  <si>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</si>
  <si>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</si>
  <si>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</si>
  <si>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</si>
  <si>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</si>
  <si>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</si>
  <si>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</si>
  <si>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</si>
  <si>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</si>
  <si>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</si>
  <si>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</si>
  <si>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</si>
  <si>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</si>
  <si>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</si>
  <si>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</si>
  <si>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</si>
  <si>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</si>
  <si>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</si>
  <si>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</si>
  <si>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</si>
  <si>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</si>
  <si>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</si>
  <si>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</si>
  <si>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</si>
  <si>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</si>
  <si>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</si>
  <si>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</si>
  <si>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</si>
  <si>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</si>
  <si>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</si>
  <si>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</si>
  <si>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</si>
  <si>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</si>
  <si>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</si>
  <si>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</si>
  <si>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</si>
  <si>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</si>
  <si>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</si>
  <si>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</si>
  <si>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</si>
  <si>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</si>
  <si>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</si>
  <si>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</si>
  <si>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</si>
  <si>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</si>
  <si>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</si>
  <si>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</si>
  <si>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</si>
  <si>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</si>
  <si>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</si>
  <si>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</si>
  <si>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</si>
  <si>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</si>
  <si>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</si>
  <si>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</si>
  <si>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</si>
  <si>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</si>
  <si>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</si>
  <si>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</si>
  <si>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</si>
  <si>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</si>
  <si>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</si>
  <si>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</si>
  <si>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</si>
  <si>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</si>
  <si>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</si>
  <si>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</si>
  <si>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</si>
  <si>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</si>
  <si>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</si>
  <si>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</si>
  <si>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</si>
  <si>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</si>
  <si>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</si>
  <si>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</si>
  <si>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</si>
  <si>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</si>
  <si>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</si>
  <si>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</si>
  <si>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</si>
  <si>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</si>
  <si>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</si>
  <si>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</si>
  <si>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</si>
  <si>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</si>
  <si>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</si>
  <si>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</si>
  <si>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</si>
  <si>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</si>
  <si>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</si>
  <si>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</si>
  <si>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</si>
  <si>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</si>
  <si>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</si>
  <si>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</si>
  <si>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</si>
  <si>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</si>
  <si>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</si>
  <si>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</si>
  <si>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</si>
  <si>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</si>
  <si>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</si>
  <si>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</si>
  <si>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</si>
  <si>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</si>
  <si>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</si>
  <si>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</si>
  <si>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</si>
  <si>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</si>
  <si>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</si>
  <si>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</si>
  <si>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</si>
  <si>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</si>
  <si>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</si>
  <si>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</si>
  <si>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</si>
  <si>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</si>
  <si>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</si>
  <si>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</si>
  <si>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</si>
  <si>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</si>
  <si>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</si>
  <si>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</si>
  <si>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</si>
  <si>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</si>
  <si>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</si>
  <si>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</si>
  <si>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</si>
  <si>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</si>
  <si>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</si>
  <si>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</si>
  <si>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</si>
  <si>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</si>
  <si>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</si>
  <si>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</si>
  <si>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</si>
  <si>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</si>
  <si>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</si>
  <si>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</si>
  <si>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</si>
  <si>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</si>
  <si>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</si>
  <si>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</si>
  <si>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</si>
  <si>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</si>
  <si>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</si>
  <si>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</si>
  <si>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</si>
  <si>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</si>
  <si>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</si>
  <si>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</si>
  <si>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</si>
  <si>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</si>
  <si>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</si>
  <si>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</si>
  <si>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</si>
  <si>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</si>
  <si>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</si>
  <si>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</si>
  <si>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</si>
  <si>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</si>
  <si>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</si>
  <si>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</si>
  <si>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</si>
  <si>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</si>
  <si>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</si>
  <si>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</si>
  <si>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</si>
  <si>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</si>
  <si>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</si>
  <si>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</si>
  <si>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</si>
  <si>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</si>
  <si>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</si>
  <si>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</si>
  <si>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</si>
  <si>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</si>
  <si>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</si>
  <si>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</si>
  <si>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</si>
  <si>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</si>
  <si>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</si>
  <si>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</si>
  <si>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</si>
  <si>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</si>
  <si>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</si>
  <si>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</si>
  <si>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</si>
  <si>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</si>
  <si>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</si>
  <si>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</si>
  <si>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</si>
  <si>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</si>
  <si>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</si>
  <si>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</si>
  <si>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</si>
  <si>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</si>
  <si>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</si>
  <si>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</si>
  <si>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</si>
  <si>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</si>
  <si>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</si>
  <si>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</si>
  <si>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</si>
  <si>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</si>
  <si>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</si>
  <si>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</si>
  <si>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</si>
  <si>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</si>
  <si>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</si>
  <si>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</si>
  <si>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</si>
  <si>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</si>
  <si>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</si>
  <si>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</si>
  <si>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</si>
  <si>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</si>
  <si>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</si>
  <si>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</si>
  <si>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</si>
  <si>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</si>
  <si>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</si>
  <si>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</si>
  <si>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</si>
  <si>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</si>
  <si>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</si>
  <si>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</si>
  <si>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</si>
  <si>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</si>
  <si>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</si>
  <si>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</si>
  <si>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</si>
  <si>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</si>
  <si>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</si>
  <si>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</si>
  <si>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</si>
  <si>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</si>
  <si>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</si>
  <si>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</si>
  <si>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</si>
  <si>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</si>
  <si>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</si>
  <si>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</si>
  <si>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</si>
  <si>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</si>
  <si>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</si>
  <si>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</si>
  <si>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</si>
  <si>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</si>
  <si>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</si>
  <si>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</si>
  <si>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</si>
  <si>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</si>
  <si>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</si>
  <si>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</si>
  <si>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</si>
  <si>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</si>
  <si>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</si>
  <si>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</si>
  <si>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</si>
  <si>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</si>
  <si>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</si>
  <si>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</si>
  <si>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</si>
  <si>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</si>
  <si>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</si>
  <si>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</si>
  <si>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</si>
  <si>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</si>
  <si>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</si>
  <si>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</si>
  <si>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</si>
  <si>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</si>
  <si>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</si>
  <si>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</si>
  <si>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</si>
  <si>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</si>
  <si>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</si>
  <si>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</si>
  <si>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</si>
  <si>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</si>
  <si>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</si>
  <si>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</si>
  <si>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</si>
  <si>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</si>
  <si>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</si>
  <si>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</si>
  <si>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</si>
  <si>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</si>
  <si>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</si>
  <si>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</si>
  <si>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</si>
  <si>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</si>
  <si>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</si>
  <si>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</si>
  <si>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</si>
  <si>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</si>
  <si>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</si>
  <si>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</si>
  <si>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</si>
  <si>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</si>
  <si>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</si>
  <si>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</si>
  <si>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</si>
  <si>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</si>
  <si>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</si>
  <si>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</si>
  <si>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</si>
  <si>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</si>
  <si>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</si>
  <si>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</si>
  <si>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</si>
  <si>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</si>
  <si>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</si>
  <si>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</si>
  <si>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</si>
  <si>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</si>
  <si>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</si>
  <si>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</si>
  <si>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</si>
  <si>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</si>
  <si>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</si>
  <si>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</si>
  <si>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</si>
  <si>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</si>
  <si>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</si>
  <si>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</si>
  <si>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</si>
  <si>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</si>
  <si>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</si>
  <si>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</si>
  <si>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</si>
  <si>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</si>
  <si>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</si>
  <si>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</si>
  <si>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</si>
  <si>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</si>
  <si>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</si>
  <si>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</si>
  <si>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</si>
  <si>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</si>
  <si>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</si>
  <si>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</si>
  <si>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</si>
  <si>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</si>
  <si>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</si>
  <si>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</si>
  <si>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</si>
  <si>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</si>
  <si>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</si>
  <si>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</si>
  <si>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</si>
  <si>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</si>
  <si>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</si>
  <si>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</si>
  <si>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</si>
  <si>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</si>
  <si>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</si>
  <si>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</si>
  <si>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</si>
  <si>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</si>
  <si>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</si>
  <si>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</si>
  <si>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</si>
  <si>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</si>
  <si>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</si>
  <si>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</si>
  <si>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</si>
  <si>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</si>
  <si>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</si>
  <si>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</si>
  <si>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</si>
  <si>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</si>
  <si>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</si>
  <si>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</si>
  <si>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</si>
  <si>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</si>
  <si>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</si>
  <si>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</si>
  <si>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</si>
  <si>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</si>
  <si>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</si>
  <si>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</si>
  <si>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</si>
  <si>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</si>
  <si>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</si>
  <si>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</si>
  <si>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</si>
  <si>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</si>
  <si>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</si>
  <si>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</si>
  <si>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</si>
  <si>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</si>
  <si>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</si>
  <si>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</si>
  <si>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</si>
  <si>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</si>
  <si>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</si>
  <si>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</si>
  <si>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</si>
  <si>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</si>
  <si>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</si>
  <si>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</si>
  <si>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</si>
  <si>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</si>
  <si>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</si>
  <si>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</si>
  <si>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</si>
  <si>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</si>
  <si>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</si>
  <si>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</si>
  <si>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</si>
  <si>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</si>
  <si>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</si>
  <si>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</si>
  <si>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</si>
  <si>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</si>
  <si>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</si>
  <si>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</si>
  <si>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</si>
  <si>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</si>
  <si>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</si>
  <si>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</si>
  <si>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</si>
  <si>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</si>
  <si>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</si>
  <si>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</si>
  <si>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</si>
  <si>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</si>
  <si>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</si>
  <si>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</si>
  <si>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</si>
  <si>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</si>
  <si>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</si>
  <si>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</si>
  <si>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</si>
  <si>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</si>
  <si>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</si>
  <si>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</si>
  <si>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</si>
  <si>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</si>
  <si>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</si>
  <si>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</si>
  <si>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</si>
  <si>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</si>
  <si>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</si>
  <si>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</si>
  <si>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</si>
  <si>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</si>
  <si>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</si>
  <si>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</si>
  <si>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</si>
  <si>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</si>
  <si>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</si>
  <si>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</si>
  <si>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</si>
  <si>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</si>
  <si>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</si>
  <si>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</si>
  <si>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</si>
  <si>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</si>
  <si>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</si>
  <si>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</si>
  <si>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</si>
  <si>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</si>
  <si>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</si>
  <si>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</si>
  <si>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</si>
  <si>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</si>
  <si>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</si>
  <si>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</si>
  <si>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</si>
  <si>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</si>
  <si>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</si>
  <si>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</si>
  <si>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</si>
  <si>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</si>
  <si>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</si>
  <si>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</si>
  <si>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</si>
  <si>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</si>
  <si>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</si>
  <si>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</si>
  <si>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</si>
  <si>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</si>
  <si>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</si>
  <si>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</si>
  <si>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</si>
  <si>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</si>
  <si>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</si>
  <si>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</si>
  <si>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</si>
  <si>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</si>
  <si>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</si>
  <si>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</si>
  <si>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</si>
  <si>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</si>
  <si>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</si>
  <si>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</si>
  <si>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</si>
  <si>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</si>
  <si>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</si>
  <si>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</si>
  <si>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</si>
  <si>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</si>
  <si>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</si>
  <si>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</si>
  <si>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</si>
  <si>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</si>
  <si>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</si>
  <si>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</si>
  <si>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</si>
  <si>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</si>
  <si>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</si>
  <si>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</si>
  <si>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</si>
  <si>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</si>
  <si>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</si>
  <si>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</si>
  <si>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</si>
  <si>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</si>
  <si>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</si>
  <si>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</si>
  <si>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</si>
  <si>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</si>
  <si>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</si>
  <si>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</si>
  <si>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</si>
  <si>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</si>
  <si>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</si>
  <si>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</si>
  <si>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</si>
  <si>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</si>
  <si>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</si>
  <si>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</si>
  <si>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</si>
  <si>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</si>
  <si>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</si>
  <si>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</si>
  <si>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</si>
  <si>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</si>
  <si>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</si>
  <si>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</si>
  <si>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</si>
  <si>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</si>
  <si>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</si>
  <si>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</si>
  <si>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</si>
  <si>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</si>
  <si>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</si>
  <si>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</si>
  <si>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</si>
  <si>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</si>
  <si>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</si>
  <si>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</si>
  <si>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</si>
  <si>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</si>
  <si>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</si>
  <si>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</si>
  <si>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</si>
  <si>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</si>
  <si>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</si>
  <si>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</si>
  <si>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</si>
  <si>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</si>
  <si>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</si>
  <si>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</si>
  <si>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</si>
  <si>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</si>
  <si>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</si>
  <si>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</si>
  <si>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</si>
  <si>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</si>
  <si>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</si>
  <si>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</si>
  <si>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</si>
  <si>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</si>
  <si>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</si>
  <si>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</si>
  <si>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</si>
  <si>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</si>
  <si>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</si>
  <si>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</si>
  <si>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</si>
  <si>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</si>
  <si>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</si>
  <si>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</si>
  <si>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</si>
  <si>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</si>
  <si>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</si>
  <si>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</si>
  <si>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</si>
  <si>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</si>
  <si>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</si>
  <si>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</si>
  <si>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</si>
  <si>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</si>
  <si>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</si>
  <si>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</si>
  <si>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</si>
  <si>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</si>
  <si>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</si>
  <si>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</si>
  <si>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</si>
  <si>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</si>
  <si>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</si>
  <si>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</si>
  <si>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</si>
  <si>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</si>
  <si>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</si>
  <si>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</si>
  <si>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</si>
  <si>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</si>
  <si>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</si>
  <si>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</si>
  <si>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</si>
  <si>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</si>
  <si>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</si>
  <si>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</si>
  <si>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</si>
  <si>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</si>
  <si>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</si>
  <si>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</si>
  <si>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</si>
  <si>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</si>
  <si>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</si>
  <si>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</si>
  <si>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</si>
  <si>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</si>
  <si>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</si>
  <si>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</si>
  <si>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</si>
  <si>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</si>
  <si>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</si>
  <si>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</si>
  <si>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</si>
  <si>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</si>
  <si>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</si>
  <si>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</si>
  <si>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</si>
  <si>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</si>
  <si>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</si>
  <si>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</si>
  <si>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</si>
  <si>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</si>
  <si>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</si>
  <si>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</si>
  <si>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</si>
  <si>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</si>
  <si>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</si>
  <si>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</si>
  <si>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</si>
  <si>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</si>
  <si>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</si>
  <si>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</si>
  <si>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</si>
  <si>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</si>
  <si>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</si>
  <si>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</si>
  <si>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</si>
  <si>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</si>
  <si>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</si>
  <si>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</si>
  <si>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</si>
  <si>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</si>
  <si>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</si>
  <si>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</si>
  <si>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</si>
  <si>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</si>
  <si>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</si>
  <si>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</si>
  <si>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</si>
  <si>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</si>
  <si>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</si>
  <si>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</si>
  <si>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</si>
  <si>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</si>
  <si>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</si>
  <si>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</si>
  <si>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</si>
  <si>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</si>
  <si>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</si>
  <si>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</si>
  <si>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</si>
  <si>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</si>
  <si>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</si>
  <si>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</si>
  <si>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</si>
  <si>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</si>
  <si>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</si>
  <si>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</si>
  <si>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</si>
  <si>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</si>
  <si>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</si>
  <si>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</si>
  <si>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</si>
  <si>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</si>
  <si>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</si>
  <si>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</si>
  <si>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</si>
  <si>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</si>
  <si>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</si>
  <si>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</si>
  <si>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</si>
  <si>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</si>
  <si>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</si>
  <si>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</si>
  <si>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</si>
  <si>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</si>
  <si>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</si>
  <si>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</si>
  <si>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</si>
  <si>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</si>
  <si>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</si>
  <si>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</si>
  <si>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</si>
  <si>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</si>
  <si>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</si>
  <si>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</si>
  <si>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</si>
  <si>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</si>
  <si>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</si>
  <si>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</si>
  <si>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</si>
  <si>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</si>
  <si>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</si>
  <si>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</si>
  <si>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</si>
  <si>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</si>
  <si>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</si>
  <si>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</si>
  <si>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</si>
  <si>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</si>
  <si>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</si>
  <si>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</si>
  <si>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</si>
  <si>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</si>
  <si>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</si>
  <si>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</si>
  <si>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</si>
  <si>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</si>
  <si>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</si>
  <si>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</si>
  <si>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</si>
  <si>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</si>
  <si>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</si>
  <si>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</si>
  <si>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</si>
  <si>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</si>
  <si>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</si>
  <si>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</si>
  <si>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</si>
  <si>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</si>
  <si>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</si>
  <si>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</si>
  <si>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</si>
  <si>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</si>
  <si>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</si>
  <si>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</si>
  <si>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</si>
  <si>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</si>
  <si>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</si>
  <si>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</si>
  <si>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</si>
  <si>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</si>
  <si>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</si>
  <si>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</si>
  <si>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</si>
  <si>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</si>
  <si>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</si>
  <si>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</si>
  <si>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</si>
  <si>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</si>
  <si>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</si>
  <si>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</si>
  <si>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</si>
  <si>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</si>
  <si>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</si>
  <si>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</si>
  <si>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</si>
  <si>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</si>
  <si>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</si>
  <si>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</si>
  <si>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</si>
  <si>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</si>
  <si>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</si>
  <si>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</si>
  <si>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</si>
  <si>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</si>
  <si>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</si>
  <si>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</si>
  <si>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</si>
  <si>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</si>
  <si>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</si>
  <si>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</si>
  <si>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</si>
  <si>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</si>
  <si>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</si>
  <si>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</si>
  <si>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</si>
  <si>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</si>
  <si>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</si>
  <si>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</si>
  <si>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</si>
  <si>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</si>
  <si>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</si>
  <si>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</si>
  <si>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</si>
  <si>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</si>
  <si>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</si>
  <si>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</si>
  <si>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</si>
  <si>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</si>
  <si>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</si>
  <si>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</si>
  <si>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</si>
  <si>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</si>
  <si>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</si>
  <si>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</si>
  <si>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</si>
  <si>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</si>
  <si>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</si>
  <si>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</si>
  <si>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</si>
  <si>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</si>
  <si>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</si>
  <si>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</si>
  <si>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</si>
  <si>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</si>
  <si>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</si>
  <si>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</si>
  <si>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</si>
  <si>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</si>
  <si>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</si>
  <si>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</si>
  <si>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</si>
  <si>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</si>
  <si>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</si>
  <si>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</si>
  <si>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</si>
  <si>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</si>
  <si>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</si>
  <si>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</si>
  <si>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</si>
  <si>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</si>
  <si>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</si>
  <si>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</si>
  <si>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</si>
  <si>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</si>
  <si>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</si>
  <si>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</si>
  <si>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</si>
  <si>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</si>
  <si>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</si>
  <si>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</si>
  <si>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</si>
  <si>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</si>
  <si>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</si>
  <si>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</si>
  <si>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</si>
  <si>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</si>
  <si>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</si>
  <si>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</si>
  <si>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</si>
  <si>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</si>
  <si>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</si>
  <si>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</si>
  <si>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</si>
  <si>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</si>
  <si>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</si>
  <si>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</si>
  <si>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</si>
  <si>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</si>
  <si>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</si>
  <si>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</si>
  <si>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</si>
  <si>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</si>
  <si>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</si>
  <si>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</si>
  <si>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</si>
  <si>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</si>
  <si>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</si>
  <si>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</si>
  <si>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</si>
  <si>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</si>
  <si>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</si>
  <si>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</si>
  <si>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</si>
  <si>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</si>
  <si>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</si>
  <si>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</si>
  <si>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</si>
  <si>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</si>
  <si>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</si>
  <si>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</si>
  <si>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</si>
  <si>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</si>
  <si>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</si>
  <si>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</si>
  <si>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</si>
  <si>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</si>
  <si>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</si>
  <si>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</si>
  <si>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</si>
  <si>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</si>
  <si>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</si>
  <si>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</si>
  <si>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</si>
  <si>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</si>
  <si>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</si>
  <si>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</si>
  <si>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</si>
  <si>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</si>
  <si>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</si>
  <si>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</si>
  <si>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</si>
  <si>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</si>
  <si>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</si>
  <si>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</si>
  <si>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</si>
  <si>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</si>
  <si>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</si>
  <si>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</si>
  <si>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</si>
  <si>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</si>
  <si>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</si>
  <si>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</si>
  <si>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</si>
  <si>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</si>
  <si>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</si>
  <si>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</si>
  <si>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</si>
  <si>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</si>
  <si>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</si>
  <si>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</si>
  <si>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</si>
  <si>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</si>
  <si>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</si>
  <si>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</si>
  <si>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</si>
  <si>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</si>
  <si>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</si>
  <si>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</si>
  <si>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</si>
  <si>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</si>
  <si>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</si>
  <si>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</si>
  <si>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</si>
  <si>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</si>
  <si>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</si>
  <si>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</si>
  <si>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</si>
  <si>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</si>
  <si>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</si>
  <si>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</si>
  <si>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</si>
  <si>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</si>
  <si>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</si>
  <si>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</si>
  <si>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</si>
  <si>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</si>
  <si>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</si>
  <si>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</si>
  <si>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</si>
  <si>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</si>
  <si>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</si>
  <si>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</si>
  <si>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</si>
  <si>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</si>
  <si>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</si>
  <si>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</si>
  <si>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</si>
  <si>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</si>
  <si>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</si>
  <si>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</si>
  <si>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</si>
  <si>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</si>
  <si>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</si>
  <si>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</si>
  <si>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</si>
  <si>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</si>
  <si>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</si>
  <si>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</si>
  <si>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</si>
  <si>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</si>
  <si>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</si>
  <si>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</si>
  <si>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</si>
  <si>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</si>
  <si>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</si>
  <si>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</si>
  <si>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</si>
  <si>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</si>
  <si>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</si>
  <si>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</si>
  <si>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</si>
  <si>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</si>
  <si>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</si>
  <si>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</si>
  <si>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</si>
  <si>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</si>
  <si>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</si>
  <si>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</si>
  <si>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</si>
  <si>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</si>
  <si>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</si>
  <si>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</si>
  <si>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</si>
  <si>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</si>
  <si>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</si>
  <si>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</si>
  <si>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</si>
  <si>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</si>
  <si>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</si>
  <si>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</si>
  <si>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</si>
  <si>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</si>
  <si>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</si>
  <si>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</si>
  <si>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</si>
  <si>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</si>
  <si>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</si>
  <si>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</si>
  <si>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</si>
  <si>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</si>
  <si>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</si>
  <si>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</si>
  <si>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</si>
  <si>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</si>
  <si>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</si>
  <si>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</si>
  <si>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</si>
  <si>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</si>
  <si>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</si>
  <si>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</si>
  <si>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</si>
  <si>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</si>
  <si>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</si>
  <si>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</si>
  <si>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</si>
  <si>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</si>
  <si>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</si>
  <si>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</si>
  <si>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</si>
  <si>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</si>
  <si>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</si>
  <si>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</si>
  <si>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</si>
  <si>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</si>
  <si>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</si>
  <si>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</si>
  <si>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</si>
  <si>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</si>
  <si>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</si>
  <si>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</si>
  <si>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</si>
  <si>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</si>
  <si>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</si>
  <si>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</si>
  <si>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</si>
  <si>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</si>
  <si>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</si>
  <si>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</si>
  <si>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</si>
  <si>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</si>
  <si>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</si>
  <si>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</si>
  <si>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</si>
  <si>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</si>
  <si>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</si>
  <si>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</si>
  <si>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</si>
  <si>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</si>
  <si>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</si>
  <si>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</si>
  <si>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</si>
  <si>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</si>
  <si>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</si>
  <si>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</si>
  <si>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</si>
  <si>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</si>
  <si>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</si>
  <si>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</si>
  <si>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</si>
  <si>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</si>
  <si>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</si>
  <si>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</si>
  <si>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</si>
  <si>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</si>
  <si>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</si>
  <si>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</si>
  <si>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</si>
  <si>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</si>
  <si>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</si>
  <si>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</si>
  <si>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</si>
  <si>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</si>
  <si>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</si>
  <si>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</si>
  <si>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</si>
  <si>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</si>
  <si>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</si>
  <si>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</si>
  <si>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</si>
  <si>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</si>
  <si>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</si>
  <si>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</si>
  <si>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</si>
  <si>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</si>
  <si>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</si>
  <si>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</si>
  <si>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</si>
  <si>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</si>
  <si>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</si>
  <si>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</si>
  <si>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</si>
  <si>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</si>
  <si>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</si>
  <si>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</si>
  <si>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</si>
  <si>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</si>
  <si>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</si>
  <si>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</si>
  <si>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</si>
  <si>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</si>
  <si>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</si>
  <si>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</si>
  <si>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</si>
  <si>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</si>
  <si>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</si>
  <si>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</si>
  <si>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</si>
  <si>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</si>
  <si>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</si>
  <si>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</si>
  <si>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</si>
  <si>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</si>
  <si>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</si>
  <si>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</si>
  <si>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</si>
  <si>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</si>
  <si>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</si>
  <si>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</si>
  <si>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</si>
  <si>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</si>
  <si>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</si>
  <si>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</si>
  <si>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</si>
  <si>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</si>
  <si>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</si>
  <si>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</si>
  <si>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</si>
  <si>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</si>
  <si>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</si>
  <si>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</si>
  <si>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</si>
  <si>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</si>
  <si>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</si>
  <si>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</si>
  <si>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</si>
  <si>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</si>
  <si>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</si>
  <si>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</si>
  <si>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</si>
  <si>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</si>
  <si>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</si>
  <si>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</si>
  <si>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</si>
  <si>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</si>
  <si>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</si>
  <si>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</si>
  <si>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</si>
  <si>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</si>
  <si>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</si>
  <si>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</si>
  <si>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</si>
  <si>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</si>
  <si>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</si>
  <si>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</si>
  <si>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</si>
  <si>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</si>
  <si>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</si>
  <si>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</si>
  <si>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</si>
  <si>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</si>
  <si>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</si>
  <si>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</si>
  <si>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</si>
  <si>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</si>
  <si>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</si>
  <si>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</si>
  <si>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</si>
  <si>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</si>
  <si>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</si>
  <si>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</si>
  <si>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</si>
  <si>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</si>
  <si>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</si>
  <si>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</si>
  <si>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</si>
  <si>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</si>
  <si>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</si>
  <si>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</si>
  <si>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</si>
  <si>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</si>
  <si>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</si>
  <si>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</si>
  <si>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</si>
  <si>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</si>
  <si>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</si>
  <si>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</si>
  <si>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</si>
  <si>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</si>
  <si>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</si>
  <si>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</si>
  <si>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</si>
  <si>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</si>
  <si>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</si>
  <si>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</si>
  <si>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</si>
  <si>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</si>
  <si>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</si>
  <si>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</si>
  <si>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</si>
  <si>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</si>
  <si>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</si>
  <si>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</si>
  <si>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</si>
  <si>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</si>
  <si>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</si>
  <si>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</si>
  <si>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</si>
  <si>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</si>
  <si>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</si>
  <si>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</si>
  <si>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</si>
  <si>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</si>
  <si>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</si>
  <si>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</si>
  <si>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</si>
  <si>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</si>
  <si>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</si>
  <si>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</si>
  <si>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</si>
  <si>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</si>
  <si>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</si>
  <si>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</si>
  <si>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</si>
  <si>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</si>
  <si>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</si>
  <si>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</si>
  <si>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</si>
  <si>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</si>
  <si>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</si>
  <si>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</si>
  <si>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</si>
  <si>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</si>
  <si>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</si>
  <si>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</si>
  <si>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</si>
  <si>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</si>
  <si>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</si>
  <si>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</si>
  <si>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</si>
  <si>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</si>
  <si>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</si>
  <si>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</si>
  <si>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</si>
  <si>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</si>
  <si>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</si>
  <si>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</si>
  <si>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</si>
  <si>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</si>
  <si>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</si>
  <si>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</si>
  <si>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</si>
  <si>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</si>
  <si>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</si>
  <si>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</si>
  <si>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</si>
  <si>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</si>
  <si>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</si>
  <si>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</si>
  <si>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</si>
  <si>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</si>
  <si>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</si>
  <si>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</si>
  <si>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</si>
  <si>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</si>
  <si>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</si>
  <si>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</si>
  <si>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</si>
  <si>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</si>
  <si>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</si>
  <si>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</si>
  <si>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</si>
  <si>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</si>
  <si>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</si>
  <si>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</si>
  <si>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</si>
  <si>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</si>
  <si>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</si>
  <si>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</si>
  <si>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</si>
  <si>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</si>
  <si>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</si>
  <si>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</si>
  <si>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</si>
  <si>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</si>
  <si>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</si>
  <si>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</si>
  <si>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</si>
  <si>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</si>
  <si>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</si>
  <si>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</si>
  <si>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</si>
  <si>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</si>
  <si>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</si>
  <si>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</si>
  <si>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</si>
  <si>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</si>
  <si>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</si>
  <si>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</si>
  <si>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</si>
  <si>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</si>
  <si>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</si>
  <si>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</si>
  <si>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</si>
  <si>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</si>
  <si>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</si>
  <si>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</si>
  <si>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</si>
  <si>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</si>
  <si>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</si>
  <si>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</si>
  <si>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</si>
  <si>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</si>
  <si>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</si>
  <si>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</si>
  <si>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</si>
  <si>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</si>
  <si>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</si>
  <si>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</si>
  <si>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</si>
  <si>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</si>
  <si>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</si>
  <si>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</si>
  <si>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</si>
  <si>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</si>
  <si>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</si>
  <si>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</si>
  <si>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</si>
  <si>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</si>
  <si>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</si>
  <si>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</si>
  <si>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</si>
  <si>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</si>
  <si>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</si>
  <si>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</si>
  <si>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</si>
  <si>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</si>
  <si>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</si>
  <si>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</si>
  <si>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</si>
  <si>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</si>
  <si>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</si>
  <si>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</si>
  <si>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</si>
  <si>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</si>
  <si>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</si>
  <si>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</si>
  <si>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</si>
  <si>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</si>
  <si>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</si>
  <si>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</si>
  <si>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</si>
  <si>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</si>
  <si>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</si>
  <si>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</si>
  <si>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</si>
  <si>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</si>
  <si>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</si>
  <si>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</si>
  <si>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</si>
  <si>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</si>
  <si>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</si>
  <si>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</si>
  <si>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</si>
  <si>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</si>
  <si>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</si>
  <si>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</si>
  <si>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</si>
  <si>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</si>
  <si>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</si>
  <si>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</si>
  <si>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</si>
  <si>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</si>
  <si>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</si>
  <si>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</si>
  <si>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</si>
  <si>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</si>
  <si>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</si>
  <si>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</si>
  <si>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</si>
  <si>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</si>
  <si>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</si>
  <si>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</si>
  <si>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</si>
  <si>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</si>
  <si>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</si>
  <si>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</si>
  <si>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</si>
  <si>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</si>
  <si>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</si>
  <si>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</si>
  <si>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</si>
  <si>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</si>
  <si>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</si>
  <si>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</si>
  <si>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</si>
  <si>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</si>
  <si>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</si>
  <si>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</si>
  <si>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</si>
  <si>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</si>
  <si>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</si>
  <si>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</si>
  <si>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</si>
  <si>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</si>
  <si>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</si>
  <si>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</si>
  <si>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</si>
  <si>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</si>
  <si>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</si>
  <si>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</si>
  <si>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</si>
  <si>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</si>
  <si>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</si>
  <si>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</si>
  <si>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</si>
  <si>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</si>
  <si>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</si>
  <si>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</si>
  <si>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</si>
  <si>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</si>
  <si>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</si>
  <si>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</si>
  <si>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</si>
  <si>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</si>
  <si>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</si>
  <si>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</si>
  <si>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</si>
  <si>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</si>
  <si>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</si>
  <si>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</si>
  <si>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</si>
  <si>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</si>
  <si>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</si>
  <si>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</si>
  <si>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</si>
  <si>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</si>
  <si>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</si>
  <si>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</si>
  <si>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</si>
  <si>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</si>
  <si>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</si>
  <si>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</si>
  <si>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</si>
  <si>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</si>
  <si>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</si>
  <si>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</si>
  <si>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</si>
  <si>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</si>
  <si>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</si>
  <si>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</si>
  <si>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</si>
  <si>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</si>
  <si>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</si>
  <si>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</si>
  <si>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</si>
  <si>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</si>
  <si>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</si>
  <si>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</si>
  <si>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</si>
  <si>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</si>
  <si>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</si>
  <si>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</si>
  <si>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</si>
  <si>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</si>
  <si>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</si>
  <si>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</si>
  <si>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</si>
  <si>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</si>
  <si>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</si>
  <si>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</si>
  <si>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</si>
  <si>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</si>
  <si>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</si>
  <si>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</si>
  <si>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</si>
  <si>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</si>
  <si>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</si>
  <si>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</si>
  <si>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</si>
  <si>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</si>
  <si>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</si>
  <si>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</si>
  <si>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</si>
  <si>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</si>
  <si>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</si>
  <si>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</si>
  <si>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</si>
  <si>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</si>
  <si>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</si>
  <si>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</si>
  <si>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</si>
  <si>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</si>
  <si>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</si>
  <si>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</si>
  <si>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</si>
  <si>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</si>
  <si>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</si>
  <si>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</si>
  <si>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</si>
  <si>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</si>
  <si>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</si>
  <si>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</si>
  <si>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</si>
  <si>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</si>
  <si>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</si>
  <si>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</si>
  <si>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</si>
  <si>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</si>
  <si>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</si>
  <si>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</si>
  <si>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</si>
  <si>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</si>
  <si>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</si>
  <si>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</si>
  <si>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</si>
  <si>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</si>
  <si>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</si>
  <si>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</si>
  <si>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</si>
  <si>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</si>
  <si>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</si>
  <si>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</si>
  <si>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</si>
  <si>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</si>
  <si>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</si>
  <si>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</si>
  <si>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</si>
  <si>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</si>
  <si>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</si>
  <si>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</si>
  <si>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</si>
  <si>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</si>
  <si>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</si>
  <si>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</si>
  <si>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</si>
  <si>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</si>
  <si>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</si>
  <si>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</si>
  <si>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</si>
  <si>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</si>
  <si>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</si>
  <si>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</si>
  <si>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</si>
  <si>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</si>
  <si>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</si>
  <si>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</si>
  <si>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2019 (date accessed: September 2022)</t>
  </si>
  <si>
    <t>Performance Monitoring and Accountability 2020 (PMA2020) Project, International Centre for Reproductive Health Kenya (ICRHK), Baltimore, MD: PMA2020, Bill &amp; Melinda Gates Institute for Population and Reproductive Health, Johns Hopkins Bloomberg School of Public Health.</t>
  </si>
  <si>
    <t>KEN_2019_UNSD</t>
  </si>
  <si>
    <t>KEN_2018_PMA</t>
  </si>
  <si>
    <t>Table W5, derived from the proportion of the population connected to wastewater treatment plants (line 2=9.7%) divided by the proportion of the population connected to wastewater collecting systems (sewers; line 1=9.7%)</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</si>
  <si>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</si>
  <si>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</si>
  <si>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</si>
  <si>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KEN_2014_UNSD</t>
  </si>
  <si>
    <t>KEN_2015_UNSD</t>
  </si>
  <si>
    <t>KEN_2016_UNSD</t>
  </si>
  <si>
    <t>Table W5, derived from the proportion of the population connected to wastewater treatment plants (line 2=3.4%) divided by the proportion of the population connected to wastewater collecting systems (sewers; line 1=3.4%)</t>
  </si>
  <si>
    <t>Table W5, derived from the proportion of the population connected to wastewater treatment plants (line 2=7.5%) divided by the proportion of the population connected to wastewater collecting systems (sewers; line 1=7.5%)</t>
  </si>
  <si>
    <t>Table W5, derived from the proportion of the population connected to wastewater treatment plants (line 2=10.6%) divided by the proportion of the population connected to wastewater collecting systems (sewers; line 1=10.6%)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</si>
</sst>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quot;[&quot;#&quot;]&quot;"/>
    <numFmt numFmtId="166" formatCode="0.0%"/>
    <numFmt numFmtId="167" formatCode="#,##0.000"/>
    <numFmt numFmtId="168" formatCode="&quot;[&quot;0&quot;]&quot;"/>
    <numFmt numFmtId="169" formatCode="0.00000"/>
    <numFmt numFmtId="170" formatCode="0.0"/>
    <numFmt numFmtId="171" formatCode="#,##0.0"/>
    <numFmt numFmtId="172" formatCode="#,##0.00000"/>
    <numFmt numFmtId="173" formatCode="&quot;[&quot;#\]"/>
    <numFmt numFmtId="174"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164"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5"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6" fontId="6" fillId="4" borderId="2" xfId="2" applyNumberFormat="1" applyFont="1" applyFill="1" applyBorder="1" applyAlignment="1">
      <alignment horizontal="center" vertical="center"/>
    </xf>
    <xf numFmtId="166"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6" fontId="6" fillId="5" borderId="2" xfId="2" applyNumberFormat="1" applyFont="1" applyFill="1" applyBorder="1" applyAlignment="1">
      <alignment horizontal="center" vertical="center"/>
    </xf>
    <xf numFmtId="166"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6" fontId="6" fillId="5" borderId="16" xfId="2" applyNumberFormat="1" applyFont="1" applyFill="1" applyBorder="1" applyAlignment="1">
      <alignment horizontal="center" vertical="center"/>
    </xf>
    <xf numFmtId="166" fontId="6" fillId="5" borderId="17" xfId="2" applyNumberFormat="1" applyFont="1" applyFill="1" applyBorder="1" applyAlignment="1">
      <alignment horizontal="center" vertical="center"/>
    </xf>
    <xf numFmtId="166" fontId="6" fillId="4" borderId="18" xfId="2" applyNumberFormat="1" applyFont="1" applyFill="1" applyBorder="1" applyAlignment="1">
      <alignment horizontal="center" vertical="center"/>
    </xf>
    <xf numFmtId="166"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6" fillId="5" borderId="5"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6"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6"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7" fontId="5" fillId="4" borderId="4" xfId="0" applyNumberFormat="1" applyFont="1" applyFill="1" applyBorder="1" applyAlignment="1">
      <alignment horizontal="center" vertical="center"/>
    </xf>
    <xf numFmtId="165" fontId="6" fillId="4" borderId="15"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165"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6"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7"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5"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7"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5"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6"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5"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6"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5"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8" fontId="0" fillId="0" borderId="0" xfId="0" applyNumberFormat="1" applyAlignment="1">
      <alignment horizontal="center"/>
    </xf>
    <xf numFmtId="167" fontId="0" fillId="5" borderId="34" xfId="0" applyNumberFormat="1" applyFill="1" applyBorder="1" applyAlignment="1">
      <alignment horizontal="right" vertical="center"/>
    </xf>
    <xf numFmtId="167" fontId="0" fillId="5" borderId="35" xfId="0" applyNumberFormat="1" applyFill="1" applyBorder="1" applyAlignment="1">
      <alignment horizontal="right" vertical="center"/>
    </xf>
    <xf numFmtId="167" fontId="0" fillId="5" borderId="27" xfId="0" applyNumberFormat="1" applyFill="1" applyBorder="1" applyAlignment="1">
      <alignment horizontal="right" vertical="center"/>
    </xf>
    <xf numFmtId="167"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5" fontId="8" fillId="4" borderId="20" xfId="1" applyNumberFormat="1" applyFill="1" applyBorder="1" applyAlignment="1">
      <alignment horizontal="center" vertical="center"/>
    </xf>
    <xf numFmtId="165" fontId="8" fillId="4" borderId="21" xfId="1" applyNumberFormat="1" applyFill="1" applyBorder="1" applyAlignment="1">
      <alignment horizontal="center" vertical="center"/>
    </xf>
    <xf numFmtId="166" fontId="0" fillId="4" borderId="1" xfId="2" applyNumberFormat="1" applyFont="1" applyFill="1" applyBorder="1" applyAlignment="1">
      <alignment horizontal="center" vertical="center"/>
    </xf>
    <xf numFmtId="166" fontId="0" fillId="4" borderId="9" xfId="2" applyNumberFormat="1" applyFont="1" applyFill="1" applyBorder="1" applyAlignment="1">
      <alignment horizontal="center" vertical="center"/>
    </xf>
    <xf numFmtId="165" fontId="8" fillId="5" borderId="17" xfId="1" applyNumberFormat="1" applyFill="1" applyBorder="1" applyAlignment="1">
      <alignment horizontal="center" vertical="center"/>
    </xf>
    <xf numFmtId="165"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5" fontId="6" fillId="5" borderId="7" xfId="0" applyNumberFormat="1" applyFont="1" applyFill="1" applyBorder="1" applyAlignment="1">
      <alignment horizontal="center" vertical="center" wrapText="1"/>
    </xf>
    <xf numFmtId="166" fontId="5" fillId="5" borderId="6" xfId="2" applyNumberFormat="1" applyFont="1" applyFill="1" applyBorder="1" applyAlignment="1">
      <alignment horizontal="center" vertical="center"/>
    </xf>
    <xf numFmtId="166"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6"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8"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70" fontId="0" fillId="0" borderId="0" xfId="2" applyNumberFormat="1" applyFont="1"/>
    <xf numFmtId="169" fontId="0" fillId="0" borderId="0" xfId="3" applyNumberFormat="1" applyFont="1"/>
    <xf numFmtId="172" fontId="6" fillId="4" borderId="30" xfId="0" applyNumberFormat="1" applyFont="1" applyFill="1" applyBorder="1" applyAlignment="1">
      <alignment horizontal="center" vertical="center"/>
    </xf>
    <xf numFmtId="170" fontId="6" fillId="4" borderId="31" xfId="2"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2" fontId="6" fillId="4" borderId="31" xfId="0" applyNumberFormat="1" applyFont="1" applyFill="1" applyBorder="1" applyAlignment="1">
      <alignment horizontal="center" vertical="center"/>
    </xf>
    <xf numFmtId="172" fontId="6" fillId="4" borderId="32" xfId="0" applyNumberFormat="1" applyFont="1" applyFill="1" applyBorder="1" applyAlignment="1">
      <alignment horizontal="center" vertical="center"/>
    </xf>
    <xf numFmtId="172" fontId="0" fillId="5" borderId="1" xfId="0" applyNumberFormat="1" applyFill="1" applyBorder="1" applyAlignment="1">
      <alignment horizontal="center" vertical="center"/>
    </xf>
    <xf numFmtId="172" fontId="5" fillId="5" borderId="24" xfId="0" applyNumberFormat="1" applyFont="1" applyFill="1" applyBorder="1" applyAlignment="1">
      <alignment horizontal="center" vertical="center"/>
    </xf>
    <xf numFmtId="170" fontId="0" fillId="5" borderId="4" xfId="2" applyNumberFormat="1" applyFont="1" applyFill="1" applyBorder="1" applyAlignment="1">
      <alignment horizontal="center" vertical="center"/>
    </xf>
    <xf numFmtId="170" fontId="0" fillId="5" borderId="22" xfId="2" applyNumberFormat="1" applyFont="1" applyFill="1" applyBorder="1" applyAlignment="1">
      <alignment horizontal="center" vertical="center"/>
    </xf>
    <xf numFmtId="172" fontId="0" fillId="5" borderId="31" xfId="0" applyNumberFormat="1" applyFill="1" applyBorder="1" applyAlignment="1">
      <alignment horizontal="center" vertical="center"/>
    </xf>
    <xf numFmtId="170" fontId="0" fillId="5" borderId="31" xfId="2" applyNumberFormat="1" applyFont="1" applyFill="1" applyBorder="1" applyAlignment="1">
      <alignment horizontal="center" vertical="center"/>
    </xf>
    <xf numFmtId="170" fontId="0" fillId="4" borderId="31" xfId="2" applyNumberFormat="1" applyFont="1" applyFill="1" applyBorder="1" applyAlignment="1">
      <alignment horizontal="center" vertical="center"/>
    </xf>
    <xf numFmtId="170" fontId="0" fillId="5" borderId="31" xfId="0" applyNumberFormat="1" applyFill="1" applyBorder="1" applyAlignment="1">
      <alignment horizontal="center" vertical="center"/>
    </xf>
    <xf numFmtId="170" fontId="0" fillId="4" borderId="32" xfId="2" applyNumberFormat="1" applyFont="1" applyFill="1" applyBorder="1" applyAlignment="1">
      <alignment horizontal="center" vertical="center"/>
    </xf>
    <xf numFmtId="172" fontId="6" fillId="5" borderId="2" xfId="0" applyNumberFormat="1" applyFont="1" applyFill="1" applyBorder="1" applyAlignment="1">
      <alignment horizontal="center" vertical="center"/>
    </xf>
    <xf numFmtId="172" fontId="6" fillId="5" borderId="4" xfId="0" applyNumberFormat="1" applyFont="1" applyFill="1" applyBorder="1" applyAlignment="1">
      <alignment horizontal="center" vertical="center"/>
    </xf>
    <xf numFmtId="172" fontId="5" fillId="5" borderId="6" xfId="0" applyNumberFormat="1" applyFont="1" applyFill="1" applyBorder="1" applyAlignment="1">
      <alignment horizontal="center" vertical="center"/>
    </xf>
    <xf numFmtId="172" fontId="0" fillId="0" borderId="0" xfId="0" applyNumberFormat="1"/>
    <xf numFmtId="172" fontId="6" fillId="4" borderId="4" xfId="0" applyNumberFormat="1" applyFont="1" applyFill="1" applyBorder="1" applyAlignment="1">
      <alignment horizontal="center" vertical="center"/>
    </xf>
    <xf numFmtId="172" fontId="6" fillId="4" borderId="25" xfId="0" applyNumberFormat="1" applyFont="1" applyFill="1" applyBorder="1" applyAlignment="1">
      <alignment horizontal="center" vertical="center"/>
    </xf>
    <xf numFmtId="172" fontId="6" fillId="4" borderId="2" xfId="0" applyNumberFormat="1" applyFont="1" applyFill="1" applyBorder="1" applyAlignment="1">
      <alignment horizontal="center" vertical="center"/>
    </xf>
    <xf numFmtId="169"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3" fontId="0" fillId="0" borderId="0" xfId="0" applyNumberFormat="1" applyAlignment="1">
      <alignment horizontal="center"/>
    </xf>
    <xf numFmtId="0" fontId="17" fillId="8" borderId="0" xfId="0" applyFont="1" applyFill="1"/>
    <xf numFmtId="0" fontId="0" fillId="8" borderId="0" xfId="0" applyFill="1"/>
    <xf numFmtId="174" fontId="0" fillId="0" borderId="0" xfId="2" applyNumberFormat="1" applyFont="1"/>
    <xf numFmtId="170" fontId="0" fillId="0" borderId="0" xfId="2" applyNumberFormat="1" applyFont="1" applyProtection="1">
      <protection locked="0"/>
    </xf>
    <xf numFmtId="169" fontId="0" fillId="0" borderId="0" xfId="3" applyNumberFormat="1" applyFont="1" applyProtection="1">
      <protection locked="0"/>
    </xf>
    <xf numFmtId="170" fontId="0" fillId="0" borderId="0" xfId="0" applyNumberFormat="1" applyProtection="1">
      <protection locked="0"/>
    </xf>
    <xf numFmtId="168" fontId="0" fillId="0" borderId="0" xfId="0" applyNumberFormat="1" applyAlignment="1" applyProtection="1">
      <alignment horizontal="center"/>
      <protection locked="0"/>
    </xf>
    <xf numFmtId="0" fontId="0" fillId="0" borderId="0" xfId="0" applyAlignment="1" applyProtection="1">
      <alignment horizontal="center"/>
      <protection locked="0"/>
    </xf>
    <xf numFmtId="168" fontId="0" fillId="0" borderId="0" xfId="0" applyNumberFormat="1" applyAlignment="1" applyProtection="1">
      <alignment horizontal="left"/>
      <protection locked="0"/>
    </xf>
    <xf numFmtId="170"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Lien hypertexte" xfId="1" builtinId="8"/>
    <cellStyle name="Milliers" xfId="3" builtinId="3"/>
    <cellStyle name="Normal" xfId="0" builtinId="0"/>
    <cellStyle name="Normal 2" xfId="4" xr:uid="{00000000-0005-0000-0000-000003000000}"/>
    <cellStyle name="Normal 7 2" xfId="6" xr:uid="{00000000-0005-0000-0000-000004000000}"/>
    <cellStyle name="Normal 8" xfId="5" xr:uid="{00000000-0005-0000-0000-000005000000}"/>
    <cellStyle name="Pourcentage"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575300" y="1603375"/>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575300" y="1603375"/>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tabSelected="1" zoomScaleNormal="100" zoomScaleSheetLayoutView="70" workbookViewId="0"/>
  </sheetViews>
  <sheetFormatPr baseColWidth="10" defaultColWidth="8.6640625" defaultRowHeight="15" x14ac:dyDescent="0.2"/>
  <cols>
    <col min="1" max="1" width="14.6640625" bestFit="1" customWidth="1"/>
    <col min="2" max="2" width="20.6640625" customWidth="1"/>
    <col min="3" max="3" width="70.6640625" customWidth="1"/>
  </cols>
  <sheetData>
    <row r="1" spans="1:3" ht="25.5" x14ac:dyDescent="0.35">
      <c r="A1" s="127" t="s">
        <v>107</v>
      </c>
      <c r="B1" s="109"/>
    </row>
    <row r="2" spans="1:3" ht="26.25" x14ac:dyDescent="0.4">
      <c r="A2" s="128" t="s">
        <v>106</v>
      </c>
      <c r="B2" s="127" t="s">
        <v>149</v>
      </c>
    </row>
    <row r="3" spans="1:3" ht="60" customHeight="1" x14ac:dyDescent="0.35">
      <c r="C3" s="4" t="str">
        <f>HLOOKUP($A$2,nametranslations,2,FALSE)</f>
        <v>Sustainable Development Goal 6 Monitoring</v>
      </c>
    </row>
    <row r="4" spans="1:3" ht="180.75" customHeight="1" x14ac:dyDescent="0.35">
      <c r="C4" s="4" t="str">
        <f>HLOOKUP($A$2,nametranslations,3,FALSE)</f>
        <v>6.3.1 Safely Treated Household Wastewater</v>
      </c>
    </row>
    <row r="5" spans="1:3" ht="79.5" customHeight="1" x14ac:dyDescent="0.5">
      <c r="C5" s="2" t="str">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Kenya</v>
      </c>
    </row>
    <row r="6" spans="1:3" ht="33.950000000000003"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11%</v>
      </c>
    </row>
    <row r="9" spans="1:3" ht="39.950000000000003" customHeight="1" x14ac:dyDescent="0.3">
      <c r="C9" s="3" t="str">
        <f>HLOOKUP($A$2,nametranslations,7,FALSE)</f>
        <v>Background and methods</v>
      </c>
    </row>
    <row r="10" spans="1:3" ht="15.95" customHeight="1" x14ac:dyDescent="0.3">
      <c r="C10" s="3"/>
    </row>
    <row r="11" spans="1:3" ht="20.25" customHeight="1" x14ac:dyDescent="0.2">
      <c r="C11" s="5" t="str">
        <f>HLOOKUP($A$2,nametranslations,8,FALSE)</f>
        <v>Guidance for the reader / user</v>
      </c>
    </row>
    <row r="12" spans="1:3" ht="20.25" customHeight="1" x14ac:dyDescent="0.2">
      <c r="C12" s="1"/>
    </row>
    <row r="13" spans="1:3" ht="39.950000000000003" customHeight="1" x14ac:dyDescent="0.3">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39.950000000000003" customHeight="1" x14ac:dyDescent="0.3">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6640625" defaultRowHeight="15" x14ac:dyDescent="0.2"/>
  <cols>
    <col min="1" max="1" width="16.44140625" bestFit="1" customWidth="1"/>
    <col min="2" max="2" width="11.88671875" bestFit="1" customWidth="1"/>
    <col min="3" max="3" width="8" bestFit="1" customWidth="1"/>
    <col min="4" max="4" width="80.6640625" bestFit="1" customWidth="1"/>
    <col min="5" max="5" width="18.109375" bestFit="1" customWidth="1"/>
    <col min="6" max="6" width="7" bestFit="1" customWidth="1"/>
    <col min="7" max="7" width="13.44140625" bestFit="1" customWidth="1"/>
    <col min="8" max="8" width="7.109375" bestFit="1" customWidth="1"/>
    <col min="9" max="9" width="5" bestFit="1" customWidth="1"/>
    <col min="10" max="10" width="4.109375" bestFit="1" customWidth="1"/>
    <col min="11" max="11" width="100.44140625" bestFit="1" customWidth="1"/>
    <col min="12" max="12" width="11.44140625" bestFit="1" customWidth="1"/>
    <col min="13" max="13" width="255.664062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ht="15.95" x14ac:dyDescent="0.2">
      <c r="A2" t="s">
        <v>1394</v>
      </c>
      <c r="B2" s="6" t="s">
        <v>1393</v>
      </c>
      <c r="C2" s="91">
        <v>1</v>
      </c>
      <c r="D2" t="s">
        <v>131</v>
      </c>
      <c r="E2" t="s">
        <v>2256</v>
      </c>
      <c r="F2" s="91">
        <v>54027.49</v>
      </c>
      <c r="G2" t="s">
        <v>2102</v>
      </c>
      <c r="H2" t="s">
        <v>194</v>
      </c>
      <c r="I2" s="91">
        <v>2022</v>
      </c>
      <c r="J2" t="s">
        <v>83</v>
      </c>
      <c r="K2" t="s">
        <v>2297</v>
      </c>
      <c r="L2" t="s">
        <v>191</v>
      </c>
      <c r="M2" t="s">
        <v>191</v>
      </c>
    </row>
    <row r="3" spans="1:13" x14ac:dyDescent="0.2">
      <c r="A3" t="s">
        <v>1394</v>
      </c>
      <c r="B3" t="s">
        <v>1393</v>
      </c>
      <c r="C3" s="91">
        <v>2</v>
      </c>
      <c r="D3" t="s">
        <v>132</v>
      </c>
      <c r="E3" t="s">
        <v>2257</v>
      </c>
      <c r="F3" s="91">
        <v>39.76</v>
      </c>
      <c r="G3" t="s">
        <v>80</v>
      </c>
      <c r="H3" t="s">
        <v>194</v>
      </c>
      <c r="I3" s="91">
        <v>2022</v>
      </c>
      <c r="J3" t="s">
        <v>83</v>
      </c>
      <c r="K3" t="s">
        <v>2298</v>
      </c>
      <c r="L3" t="s">
        <v>191</v>
      </c>
      <c r="M3" t="s">
        <v>191</v>
      </c>
    </row>
    <row r="4" spans="1:13" x14ac:dyDescent="0.2">
      <c r="A4" t="s">
        <v>1394</v>
      </c>
      <c r="B4" t="s">
        <v>1393</v>
      </c>
      <c r="C4" s="91">
        <v>3</v>
      </c>
      <c r="D4" t="s">
        <v>133</v>
      </c>
      <c r="E4" t="s">
        <v>2258</v>
      </c>
      <c r="F4" s="91">
        <v>60.24</v>
      </c>
      <c r="G4" t="s">
        <v>80</v>
      </c>
      <c r="H4" t="s">
        <v>194</v>
      </c>
      <c r="I4" s="91">
        <v>2022</v>
      </c>
      <c r="J4" t="s">
        <v>83</v>
      </c>
      <c r="K4" t="s">
        <v>2298</v>
      </c>
      <c r="L4" t="s">
        <v>191</v>
      </c>
      <c r="M4" t="s">
        <v>191</v>
      </c>
    </row>
    <row r="5" spans="1:13" x14ac:dyDescent="0.2">
      <c r="A5" t="s">
        <v>1394</v>
      </c>
      <c r="B5" t="s">
        <v>1393</v>
      </c>
      <c r="C5" s="91">
        <v>4</v>
      </c>
      <c r="D5" t="s">
        <v>152</v>
      </c>
      <c r="E5" t="s">
        <v>2259</v>
      </c>
      <c r="F5" s="91">
        <v>120</v>
      </c>
      <c r="G5" t="s">
        <v>89</v>
      </c>
      <c r="H5" t="s">
        <v>81</v>
      </c>
      <c r="I5" s="91">
        <v>2022</v>
      </c>
      <c r="J5" t="s">
        <v>83</v>
      </c>
      <c r="K5" t="s">
        <v>2299</v>
      </c>
      <c r="L5" t="s">
        <v>191</v>
      </c>
      <c r="M5" t="s">
        <v>191</v>
      </c>
    </row>
    <row r="6" spans="1:13" x14ac:dyDescent="0.2">
      <c r="A6" t="s">
        <v>1394</v>
      </c>
      <c r="B6" t="s">
        <v>1393</v>
      </c>
      <c r="C6" s="91">
        <v>5</v>
      </c>
      <c r="D6" t="s">
        <v>153</v>
      </c>
      <c r="E6" t="s">
        <v>2260</v>
      </c>
      <c r="F6" s="91">
        <v>20</v>
      </c>
      <c r="G6" t="s">
        <v>89</v>
      </c>
      <c r="H6" t="s">
        <v>81</v>
      </c>
      <c r="I6" s="91">
        <v>2022</v>
      </c>
      <c r="J6" t="s">
        <v>83</v>
      </c>
      <c r="K6" t="s">
        <v>2299</v>
      </c>
      <c r="L6" t="s">
        <v>191</v>
      </c>
      <c r="M6" t="s">
        <v>191</v>
      </c>
    </row>
    <row r="7" spans="1:13" x14ac:dyDescent="0.2">
      <c r="A7" t="s">
        <v>1394</v>
      </c>
      <c r="B7" t="s">
        <v>1393</v>
      </c>
      <c r="C7" s="91">
        <v>6</v>
      </c>
      <c r="D7" t="s">
        <v>146</v>
      </c>
      <c r="E7" t="s">
        <v>2261</v>
      </c>
      <c r="F7" s="91">
        <v>1178.46923828125</v>
      </c>
      <c r="G7" t="s">
        <v>102</v>
      </c>
      <c r="H7" t="s">
        <v>5</v>
      </c>
      <c r="I7" s="91">
        <v>2022</v>
      </c>
      <c r="J7" t="s">
        <v>83</v>
      </c>
      <c r="K7" t="s">
        <v>191</v>
      </c>
      <c r="L7" t="s">
        <v>191</v>
      </c>
      <c r="M7" t="s">
        <v>191</v>
      </c>
    </row>
    <row r="8" spans="1:13" x14ac:dyDescent="0.2">
      <c r="A8" t="s">
        <v>1394</v>
      </c>
      <c r="B8" t="s">
        <v>1393</v>
      </c>
      <c r="C8" s="91">
        <v>7</v>
      </c>
      <c r="D8" t="s">
        <v>104</v>
      </c>
      <c r="E8" t="s">
        <v>2262</v>
      </c>
      <c r="F8" s="91">
        <v>80</v>
      </c>
      <c r="G8" t="s">
        <v>80</v>
      </c>
      <c r="H8" t="s">
        <v>81</v>
      </c>
      <c r="I8" s="91">
        <v>2022</v>
      </c>
      <c r="J8" t="s">
        <v>83</v>
      </c>
      <c r="K8" t="s">
        <v>2299</v>
      </c>
      <c r="L8" t="s">
        <v>191</v>
      </c>
      <c r="M8" t="s">
        <v>191</v>
      </c>
    </row>
    <row r="9" spans="1:13" x14ac:dyDescent="0.2">
      <c r="A9" t="s">
        <v>1394</v>
      </c>
      <c r="B9" t="s">
        <v>1393</v>
      </c>
      <c r="C9" s="91">
        <v>8</v>
      </c>
      <c r="D9" t="s">
        <v>145</v>
      </c>
      <c r="E9" t="s">
        <v>2263</v>
      </c>
      <c r="F9" s="91">
        <v>942.775390625</v>
      </c>
      <c r="G9" t="s">
        <v>102</v>
      </c>
      <c r="H9" t="s">
        <v>5</v>
      </c>
      <c r="I9" s="91">
        <v>2022</v>
      </c>
      <c r="J9" t="s">
        <v>83</v>
      </c>
      <c r="K9" t="s">
        <v>191</v>
      </c>
      <c r="L9" t="s">
        <v>191</v>
      </c>
      <c r="M9" t="s">
        <v>191</v>
      </c>
    </row>
    <row r="10" spans="1:13" x14ac:dyDescent="0.2">
      <c r="A10" t="s">
        <v>1394</v>
      </c>
      <c r="B10" t="s">
        <v>1393</v>
      </c>
      <c r="C10" s="91">
        <v>9</v>
      </c>
      <c r="D10" t="s">
        <v>139</v>
      </c>
      <c r="E10" t="s">
        <v>2264</v>
      </c>
      <c r="F10" s="91">
        <v>6.25</v>
      </c>
      <c r="G10" t="s">
        <v>80</v>
      </c>
      <c r="H10" t="s">
        <v>194</v>
      </c>
      <c r="I10" s="91">
        <v>2022</v>
      </c>
      <c r="J10" t="s">
        <v>83</v>
      </c>
      <c r="K10" t="s">
        <v>2298</v>
      </c>
      <c r="L10" t="s">
        <v>191</v>
      </c>
      <c r="M10" t="s">
        <v>191</v>
      </c>
    </row>
    <row r="11" spans="1:13" x14ac:dyDescent="0.2">
      <c r="A11" t="s">
        <v>1394</v>
      </c>
      <c r="B11" t="s">
        <v>1393</v>
      </c>
      <c r="C11" s="91">
        <v>10</v>
      </c>
      <c r="D11" t="s">
        <v>73</v>
      </c>
      <c r="E11" t="s">
        <v>2265</v>
      </c>
      <c r="F11" s="91">
        <v>6.47</v>
      </c>
      <c r="G11" t="s">
        <v>80</v>
      </c>
      <c r="H11" t="s">
        <v>194</v>
      </c>
      <c r="I11" s="91">
        <v>2022</v>
      </c>
      <c r="J11" t="s">
        <v>83</v>
      </c>
      <c r="K11" t="s">
        <v>2298</v>
      </c>
      <c r="L11" t="s">
        <v>191</v>
      </c>
      <c r="M11" t="s">
        <v>191</v>
      </c>
    </row>
    <row r="12" spans="1:13" x14ac:dyDescent="0.2">
      <c r="A12" t="s">
        <v>1394</v>
      </c>
      <c r="B12" t="s">
        <v>1393</v>
      </c>
      <c r="C12" s="91">
        <v>11</v>
      </c>
      <c r="D12" t="s">
        <v>74</v>
      </c>
      <c r="E12" t="s">
        <v>2266</v>
      </c>
      <c r="F12" s="91">
        <v>48.14</v>
      </c>
      <c r="G12" t="s">
        <v>80</v>
      </c>
      <c r="H12" t="s">
        <v>194</v>
      </c>
      <c r="I12" s="91">
        <v>2022</v>
      </c>
      <c r="J12" t="s">
        <v>83</v>
      </c>
      <c r="K12" t="s">
        <v>2298</v>
      </c>
      <c r="L12" t="s">
        <v>191</v>
      </c>
      <c r="M12" t="s">
        <v>191</v>
      </c>
    </row>
    <row r="13" spans="1:13" x14ac:dyDescent="0.2">
      <c r="A13" t="s">
        <v>1394</v>
      </c>
      <c r="B13" t="s">
        <v>1393</v>
      </c>
      <c r="C13" s="91">
        <v>12</v>
      </c>
      <c r="D13" t="s">
        <v>75</v>
      </c>
      <c r="E13" t="s">
        <v>2267</v>
      </c>
      <c r="F13" s="91">
        <v>32.69</v>
      </c>
      <c r="G13" t="s">
        <v>80</v>
      </c>
      <c r="H13" t="s">
        <v>194</v>
      </c>
      <c r="I13" s="91">
        <v>2022</v>
      </c>
      <c r="J13" t="s">
        <v>83</v>
      </c>
      <c r="K13" t="s">
        <v>2298</v>
      </c>
      <c r="L13" t="s">
        <v>191</v>
      </c>
      <c r="M13" t="s">
        <v>191</v>
      </c>
    </row>
    <row r="14" spans="1:13" x14ac:dyDescent="0.2">
      <c r="A14" t="s">
        <v>1394</v>
      </c>
      <c r="B14" t="s">
        <v>1393</v>
      </c>
      <c r="C14" s="91">
        <v>13</v>
      </c>
      <c r="D14" t="s">
        <v>76</v>
      </c>
      <c r="E14" t="s">
        <v>2268</v>
      </c>
      <c r="F14" s="91">
        <v>6.45</v>
      </c>
      <c r="G14" t="s">
        <v>80</v>
      </c>
      <c r="H14" t="s">
        <v>194</v>
      </c>
      <c r="I14" s="91">
        <v>2022</v>
      </c>
      <c r="J14" t="s">
        <v>83</v>
      </c>
      <c r="K14" t="s">
        <v>2298</v>
      </c>
      <c r="L14" t="s">
        <v>191</v>
      </c>
      <c r="M14" t="s">
        <v>191</v>
      </c>
    </row>
    <row r="15" spans="1:13" x14ac:dyDescent="0.2">
      <c r="A15" t="s">
        <v>1394</v>
      </c>
      <c r="B15" t="s">
        <v>1393</v>
      </c>
      <c r="C15" s="91">
        <v>14</v>
      </c>
      <c r="D15" t="s">
        <v>140</v>
      </c>
      <c r="E15" t="s">
        <v>2269</v>
      </c>
      <c r="F15" s="91">
        <v>118.32020568847656</v>
      </c>
      <c r="G15" t="s">
        <v>102</v>
      </c>
      <c r="H15" t="s">
        <v>5</v>
      </c>
      <c r="I15" s="91">
        <v>2022</v>
      </c>
      <c r="J15" t="s">
        <v>83</v>
      </c>
      <c r="K15" t="s">
        <v>191</v>
      </c>
      <c r="L15" t="s">
        <v>191</v>
      </c>
      <c r="M15" t="s">
        <v>191</v>
      </c>
    </row>
    <row r="16" spans="1:13" x14ac:dyDescent="0.2">
      <c r="A16" t="s">
        <v>1394</v>
      </c>
      <c r="B16" t="s">
        <v>1393</v>
      </c>
      <c r="C16" s="91">
        <v>15</v>
      </c>
      <c r="D16" t="s">
        <v>141</v>
      </c>
      <c r="E16" t="s">
        <v>2270</v>
      </c>
      <c r="F16" s="91">
        <v>122.48507690429688</v>
      </c>
      <c r="G16" t="s">
        <v>102</v>
      </c>
      <c r="H16" t="s">
        <v>5</v>
      </c>
      <c r="I16" s="91">
        <v>2022</v>
      </c>
      <c r="J16" t="s">
        <v>83</v>
      </c>
      <c r="K16" t="s">
        <v>191</v>
      </c>
      <c r="L16" t="s">
        <v>191</v>
      </c>
      <c r="M16" t="s">
        <v>191</v>
      </c>
    </row>
    <row r="17" spans="1:13" x14ac:dyDescent="0.2">
      <c r="A17" t="s">
        <v>1394</v>
      </c>
      <c r="B17" t="s">
        <v>1393</v>
      </c>
      <c r="C17" s="91">
        <v>16</v>
      </c>
      <c r="D17" t="s">
        <v>142</v>
      </c>
      <c r="E17" t="s">
        <v>2271</v>
      </c>
      <c r="F17" s="91">
        <v>578.475341796875</v>
      </c>
      <c r="G17" t="s">
        <v>102</v>
      </c>
      <c r="H17" t="s">
        <v>5</v>
      </c>
      <c r="I17" s="91">
        <v>2022</v>
      </c>
      <c r="J17" t="s">
        <v>83</v>
      </c>
      <c r="K17" t="s">
        <v>191</v>
      </c>
      <c r="L17" t="s">
        <v>191</v>
      </c>
      <c r="M17" t="s">
        <v>191</v>
      </c>
    </row>
    <row r="18" spans="1:13" x14ac:dyDescent="0.2">
      <c r="A18" t="s">
        <v>1394</v>
      </c>
      <c r="B18" t="s">
        <v>1393</v>
      </c>
      <c r="C18" s="91">
        <v>17</v>
      </c>
      <c r="D18" t="s">
        <v>143</v>
      </c>
      <c r="E18" t="s">
        <v>2272</v>
      </c>
      <c r="F18" s="91">
        <v>103.14366149902344</v>
      </c>
      <c r="G18" t="s">
        <v>102</v>
      </c>
      <c r="H18" t="s">
        <v>5</v>
      </c>
      <c r="I18" s="91">
        <v>2022</v>
      </c>
      <c r="J18" t="s">
        <v>83</v>
      </c>
      <c r="K18" t="s">
        <v>191</v>
      </c>
      <c r="L18" t="s">
        <v>191</v>
      </c>
      <c r="M18" t="s">
        <v>191</v>
      </c>
    </row>
    <row r="19" spans="1:13" x14ac:dyDescent="0.2">
      <c r="A19" t="s">
        <v>1394</v>
      </c>
      <c r="B19" t="s">
        <v>1393</v>
      </c>
      <c r="C19" s="91">
        <v>18</v>
      </c>
      <c r="D19" t="s">
        <v>144</v>
      </c>
      <c r="E19" t="s">
        <v>2273</v>
      </c>
      <c r="F19" s="91">
        <v>20.35107421875</v>
      </c>
      <c r="G19" t="s">
        <v>102</v>
      </c>
      <c r="H19" t="s">
        <v>5</v>
      </c>
      <c r="I19" s="91">
        <v>2022</v>
      </c>
      <c r="J19" t="s">
        <v>83</v>
      </c>
      <c r="K19" t="s">
        <v>191</v>
      </c>
      <c r="L19" t="s">
        <v>191</v>
      </c>
      <c r="M19" t="s">
        <v>191</v>
      </c>
    </row>
    <row r="20" spans="1:13" x14ac:dyDescent="0.2">
      <c r="A20" t="s">
        <v>1394</v>
      </c>
      <c r="B20" t="s">
        <v>1393</v>
      </c>
      <c r="C20" s="91">
        <v>19</v>
      </c>
      <c r="D20" t="s">
        <v>2103</v>
      </c>
      <c r="E20" t="s">
        <v>2274</v>
      </c>
      <c r="F20" s="91">
        <v>100</v>
      </c>
      <c r="G20" t="s">
        <v>80</v>
      </c>
      <c r="H20" t="s">
        <v>2296</v>
      </c>
      <c r="I20" s="91">
        <v>2019</v>
      </c>
      <c r="J20" t="s">
        <v>83</v>
      </c>
      <c r="K20" t="s">
        <v>2300</v>
      </c>
      <c r="L20" t="s">
        <v>2302</v>
      </c>
      <c r="M20" t="s">
        <v>2304</v>
      </c>
    </row>
    <row r="21" spans="1:13" x14ac:dyDescent="0.2">
      <c r="A21" t="s">
        <v>1394</v>
      </c>
      <c r="B21" t="s">
        <v>1393</v>
      </c>
      <c r="C21" s="91">
        <v>20</v>
      </c>
      <c r="D21" t="s">
        <v>2104</v>
      </c>
      <c r="E21" t="s">
        <v>2275</v>
      </c>
      <c r="F21" s="91">
        <v>50</v>
      </c>
      <c r="G21" t="s">
        <v>80</v>
      </c>
      <c r="H21" t="s">
        <v>81</v>
      </c>
      <c r="I21" s="91">
        <v>2022</v>
      </c>
      <c r="J21" t="s">
        <v>83</v>
      </c>
      <c r="K21" t="s">
        <v>2299</v>
      </c>
      <c r="L21" t="s">
        <v>191</v>
      </c>
      <c r="M21" t="s">
        <v>191</v>
      </c>
    </row>
    <row r="22" spans="1:13" x14ac:dyDescent="0.2">
      <c r="A22" t="s">
        <v>1394</v>
      </c>
      <c r="B22" t="s">
        <v>1393</v>
      </c>
      <c r="C22" s="91">
        <v>21</v>
      </c>
      <c r="D22" t="s">
        <v>2105</v>
      </c>
      <c r="E22" t="s">
        <v>2276</v>
      </c>
      <c r="F22" s="91"/>
      <c r="G22" t="s">
        <v>191</v>
      </c>
      <c r="H22" t="s">
        <v>191</v>
      </c>
      <c r="I22" s="91"/>
      <c r="J22" t="s">
        <v>84</v>
      </c>
      <c r="K22" t="s">
        <v>191</v>
      </c>
      <c r="L22" t="s">
        <v>191</v>
      </c>
      <c r="M22" t="s">
        <v>191</v>
      </c>
    </row>
    <row r="23" spans="1:13" x14ac:dyDescent="0.2">
      <c r="A23" t="s">
        <v>1394</v>
      </c>
      <c r="B23" t="s">
        <v>1393</v>
      </c>
      <c r="C23" s="91">
        <v>22</v>
      </c>
      <c r="D23" t="s">
        <v>2126</v>
      </c>
      <c r="E23" t="s">
        <v>2277</v>
      </c>
      <c r="F23" s="91">
        <v>50</v>
      </c>
      <c r="G23" t="s">
        <v>80</v>
      </c>
      <c r="H23" t="s">
        <v>81</v>
      </c>
      <c r="I23" s="91">
        <v>2022</v>
      </c>
      <c r="J23" t="s">
        <v>83</v>
      </c>
      <c r="K23" t="s">
        <v>2299</v>
      </c>
      <c r="L23" t="s">
        <v>191</v>
      </c>
      <c r="M23" t="s">
        <v>191</v>
      </c>
    </row>
    <row r="24" spans="1:13" x14ac:dyDescent="0.2">
      <c r="A24" t="s">
        <v>1394</v>
      </c>
      <c r="B24" t="s">
        <v>1393</v>
      </c>
      <c r="C24" s="91">
        <v>23</v>
      </c>
      <c r="D24" t="s">
        <v>180</v>
      </c>
      <c r="E24" t="s">
        <v>2278</v>
      </c>
      <c r="F24" s="91">
        <v>6</v>
      </c>
      <c r="G24" t="s">
        <v>80</v>
      </c>
      <c r="H24" t="s">
        <v>2296</v>
      </c>
      <c r="I24" s="91">
        <v>2018</v>
      </c>
      <c r="J24" t="s">
        <v>83</v>
      </c>
      <c r="K24" t="s">
        <v>2301</v>
      </c>
      <c r="L24" t="s">
        <v>2303</v>
      </c>
      <c r="M24" t="s">
        <v>191</v>
      </c>
    </row>
    <row r="25" spans="1:13" x14ac:dyDescent="0.2">
      <c r="A25" t="s">
        <v>1394</v>
      </c>
      <c r="B25" t="s">
        <v>1393</v>
      </c>
      <c r="C25" s="91">
        <v>24</v>
      </c>
      <c r="D25" t="s">
        <v>2127</v>
      </c>
      <c r="E25" t="s">
        <v>2279</v>
      </c>
      <c r="F25" s="91">
        <v>0.2</v>
      </c>
      <c r="G25" t="s">
        <v>80</v>
      </c>
      <c r="H25" t="s">
        <v>2296</v>
      </c>
      <c r="I25" s="91">
        <v>2018</v>
      </c>
      <c r="J25" t="s">
        <v>83</v>
      </c>
      <c r="K25" t="s">
        <v>2301</v>
      </c>
      <c r="L25" t="s">
        <v>2303</v>
      </c>
      <c r="M25" t="s">
        <v>191</v>
      </c>
    </row>
    <row r="26" spans="1:13" x14ac:dyDescent="0.2">
      <c r="A26" t="s">
        <v>1394</v>
      </c>
      <c r="B26" t="s">
        <v>1393</v>
      </c>
      <c r="C26" s="91">
        <v>25</v>
      </c>
      <c r="D26" t="s">
        <v>179</v>
      </c>
      <c r="E26" t="s">
        <v>2280</v>
      </c>
      <c r="F26" s="91">
        <v>21.5</v>
      </c>
      <c r="G26" t="s">
        <v>80</v>
      </c>
      <c r="H26" t="s">
        <v>2296</v>
      </c>
      <c r="I26" s="91">
        <v>2018</v>
      </c>
      <c r="J26" t="s">
        <v>83</v>
      </c>
      <c r="K26" t="s">
        <v>2301</v>
      </c>
      <c r="L26" t="s">
        <v>2303</v>
      </c>
      <c r="M26" t="s">
        <v>191</v>
      </c>
    </row>
    <row r="27" spans="1:13" x14ac:dyDescent="0.2">
      <c r="A27" t="s">
        <v>1394</v>
      </c>
      <c r="B27" t="s">
        <v>1393</v>
      </c>
      <c r="C27" s="91">
        <v>26</v>
      </c>
      <c r="D27" t="s">
        <v>186</v>
      </c>
      <c r="E27" t="s">
        <v>2281</v>
      </c>
      <c r="F27" s="91">
        <v>72.3</v>
      </c>
      <c r="G27" t="s">
        <v>80</v>
      </c>
      <c r="H27" t="s">
        <v>2296</v>
      </c>
      <c r="I27" s="91">
        <v>2018</v>
      </c>
      <c r="J27" t="s">
        <v>83</v>
      </c>
      <c r="K27" t="s">
        <v>2301</v>
      </c>
      <c r="L27" t="s">
        <v>2303</v>
      </c>
      <c r="M27" t="s">
        <v>191</v>
      </c>
    </row>
    <row r="28" spans="1:13" x14ac:dyDescent="0.2">
      <c r="A28" t="s">
        <v>1394</v>
      </c>
      <c r="B28" t="s">
        <v>1393</v>
      </c>
      <c r="C28" s="91">
        <v>27</v>
      </c>
      <c r="D28" t="s">
        <v>2106</v>
      </c>
      <c r="E28" t="s">
        <v>2282</v>
      </c>
      <c r="F28" s="91">
        <v>100</v>
      </c>
      <c r="G28" t="s">
        <v>80</v>
      </c>
      <c r="H28" t="s">
        <v>81</v>
      </c>
      <c r="I28" s="91">
        <v>2022</v>
      </c>
      <c r="J28" t="s">
        <v>83</v>
      </c>
      <c r="K28" t="s">
        <v>2299</v>
      </c>
      <c r="L28" t="s">
        <v>191</v>
      </c>
      <c r="M28" t="s">
        <v>191</v>
      </c>
    </row>
    <row r="29" spans="1:13" x14ac:dyDescent="0.2">
      <c r="A29" t="s">
        <v>1394</v>
      </c>
      <c r="B29" t="s">
        <v>1393</v>
      </c>
      <c r="C29" s="91">
        <v>28</v>
      </c>
      <c r="D29" t="s">
        <v>2107</v>
      </c>
      <c r="E29" t="s">
        <v>2283</v>
      </c>
      <c r="F29" s="91">
        <v>0</v>
      </c>
      <c r="G29" t="s">
        <v>80</v>
      </c>
      <c r="H29" t="s">
        <v>81</v>
      </c>
      <c r="I29" s="91">
        <v>2022</v>
      </c>
      <c r="J29" t="s">
        <v>83</v>
      </c>
      <c r="K29" t="s">
        <v>2299</v>
      </c>
      <c r="L29" t="s">
        <v>191</v>
      </c>
      <c r="M29" t="s">
        <v>191</v>
      </c>
    </row>
    <row r="30" spans="1:13" x14ac:dyDescent="0.2">
      <c r="A30" t="s">
        <v>1394</v>
      </c>
      <c r="B30" t="s">
        <v>1393</v>
      </c>
      <c r="C30" s="91">
        <v>29</v>
      </c>
      <c r="D30" t="s">
        <v>2108</v>
      </c>
      <c r="E30" t="s">
        <v>2284</v>
      </c>
      <c r="F30" s="91">
        <v>118.32020568847656</v>
      </c>
      <c r="G30" t="s">
        <v>102</v>
      </c>
      <c r="H30" t="s">
        <v>5</v>
      </c>
      <c r="I30" s="91">
        <v>2022</v>
      </c>
      <c r="J30" t="s">
        <v>83</v>
      </c>
      <c r="K30" t="s">
        <v>191</v>
      </c>
      <c r="L30" t="s">
        <v>191</v>
      </c>
      <c r="M30" t="s">
        <v>191</v>
      </c>
    </row>
    <row r="31" spans="1:13" x14ac:dyDescent="0.2">
      <c r="A31" t="s">
        <v>1394</v>
      </c>
      <c r="B31" t="s">
        <v>1393</v>
      </c>
      <c r="C31" s="91">
        <v>30</v>
      </c>
      <c r="D31" t="s">
        <v>2109</v>
      </c>
      <c r="E31" t="s">
        <v>2285</v>
      </c>
      <c r="F31" s="91">
        <v>13.167145729064941</v>
      </c>
      <c r="G31" t="s">
        <v>102</v>
      </c>
      <c r="H31" t="s">
        <v>5</v>
      </c>
      <c r="I31" s="91">
        <v>2022</v>
      </c>
      <c r="J31" t="s">
        <v>83</v>
      </c>
      <c r="K31" t="s">
        <v>191</v>
      </c>
      <c r="L31" t="s">
        <v>191</v>
      </c>
      <c r="M31" t="s">
        <v>191</v>
      </c>
    </row>
    <row r="32" spans="1:13" x14ac:dyDescent="0.2">
      <c r="A32" t="s">
        <v>1394</v>
      </c>
      <c r="B32" t="s">
        <v>1393</v>
      </c>
      <c r="C32" s="91">
        <v>31</v>
      </c>
      <c r="D32" t="s">
        <v>2110</v>
      </c>
      <c r="E32" t="s">
        <v>2286</v>
      </c>
      <c r="F32" s="91">
        <v>47.952907562255859</v>
      </c>
      <c r="G32" t="s">
        <v>102</v>
      </c>
      <c r="H32" t="s">
        <v>5</v>
      </c>
      <c r="I32" s="91">
        <v>2022</v>
      </c>
      <c r="J32" t="s">
        <v>83</v>
      </c>
      <c r="K32" t="s">
        <v>191</v>
      </c>
      <c r="L32" t="s">
        <v>191</v>
      </c>
      <c r="M32" t="s">
        <v>191</v>
      </c>
    </row>
    <row r="33" spans="1:13" x14ac:dyDescent="0.2">
      <c r="A33" t="s">
        <v>1394</v>
      </c>
      <c r="B33" t="s">
        <v>1393</v>
      </c>
      <c r="C33" s="91">
        <v>32</v>
      </c>
      <c r="D33" t="s">
        <v>2111</v>
      </c>
      <c r="E33" t="s">
        <v>2287</v>
      </c>
      <c r="F33" s="91">
        <v>179.44026184082031</v>
      </c>
      <c r="G33" t="s">
        <v>102</v>
      </c>
      <c r="H33" t="s">
        <v>5</v>
      </c>
      <c r="I33" s="91">
        <v>2022</v>
      </c>
      <c r="J33" t="s">
        <v>83</v>
      </c>
      <c r="K33" t="s">
        <v>191</v>
      </c>
      <c r="L33" t="s">
        <v>191</v>
      </c>
      <c r="M33" t="s">
        <v>191</v>
      </c>
    </row>
    <row r="34" spans="1:13" x14ac:dyDescent="0.2">
      <c r="A34" t="s">
        <v>1394</v>
      </c>
      <c r="B34" t="s">
        <v>1393</v>
      </c>
      <c r="C34" s="91">
        <v>33</v>
      </c>
      <c r="D34" t="s">
        <v>168</v>
      </c>
      <c r="E34" t="s">
        <v>2288</v>
      </c>
      <c r="F34" s="91">
        <v>59.160102844238281</v>
      </c>
      <c r="G34" t="s">
        <v>102</v>
      </c>
      <c r="H34" t="s">
        <v>5</v>
      </c>
      <c r="I34" s="91">
        <v>2022</v>
      </c>
      <c r="J34" t="s">
        <v>83</v>
      </c>
      <c r="K34" t="s">
        <v>191</v>
      </c>
      <c r="L34" t="s">
        <v>191</v>
      </c>
      <c r="M34" t="s">
        <v>191</v>
      </c>
    </row>
    <row r="35" spans="1:13" x14ac:dyDescent="0.2">
      <c r="A35" t="s">
        <v>1394</v>
      </c>
      <c r="B35" t="s">
        <v>1393</v>
      </c>
      <c r="C35" s="91">
        <v>34</v>
      </c>
      <c r="D35" t="s">
        <v>2112</v>
      </c>
      <c r="E35" t="s">
        <v>2289</v>
      </c>
      <c r="F35" s="91">
        <v>0</v>
      </c>
      <c r="G35" t="s">
        <v>102</v>
      </c>
      <c r="H35" t="s">
        <v>5</v>
      </c>
      <c r="I35" s="91">
        <v>2022</v>
      </c>
      <c r="J35" t="s">
        <v>83</v>
      </c>
      <c r="K35" t="s">
        <v>191</v>
      </c>
      <c r="L35" t="s">
        <v>191</v>
      </c>
      <c r="M35" t="s">
        <v>191</v>
      </c>
    </row>
    <row r="36" spans="1:13" x14ac:dyDescent="0.2">
      <c r="A36" t="s">
        <v>1394</v>
      </c>
      <c r="B36" t="s">
        <v>1393</v>
      </c>
      <c r="C36" s="91">
        <v>35</v>
      </c>
      <c r="D36" t="s">
        <v>2113</v>
      </c>
      <c r="E36" t="s">
        <v>2290</v>
      </c>
      <c r="F36" s="91">
        <v>47.952907562255859</v>
      </c>
      <c r="G36" t="s">
        <v>102</v>
      </c>
      <c r="H36" t="s">
        <v>5</v>
      </c>
      <c r="I36" s="91">
        <v>2022</v>
      </c>
      <c r="J36" t="s">
        <v>83</v>
      </c>
      <c r="K36" t="s">
        <v>191</v>
      </c>
      <c r="L36" t="s">
        <v>191</v>
      </c>
      <c r="M36" t="s">
        <v>191</v>
      </c>
    </row>
    <row r="37" spans="1:13" x14ac:dyDescent="0.2">
      <c r="A37" t="s">
        <v>1394</v>
      </c>
      <c r="B37" t="s">
        <v>1393</v>
      </c>
      <c r="C37" s="91">
        <v>36</v>
      </c>
      <c r="D37" t="s">
        <v>170</v>
      </c>
      <c r="E37" t="s">
        <v>2291</v>
      </c>
      <c r="F37" s="91">
        <v>107.11300659179688</v>
      </c>
      <c r="G37" t="s">
        <v>102</v>
      </c>
      <c r="H37" t="s">
        <v>5</v>
      </c>
      <c r="I37" s="91">
        <v>2022</v>
      </c>
      <c r="J37" t="s">
        <v>83</v>
      </c>
      <c r="K37" t="s">
        <v>191</v>
      </c>
      <c r="L37" t="s">
        <v>191</v>
      </c>
      <c r="M37" t="s">
        <v>191</v>
      </c>
    </row>
    <row r="38" spans="1:13" x14ac:dyDescent="0.2">
      <c r="A38" t="s">
        <v>1394</v>
      </c>
      <c r="B38" t="s">
        <v>1393</v>
      </c>
      <c r="C38" s="91">
        <v>37</v>
      </c>
      <c r="D38" t="s">
        <v>169</v>
      </c>
      <c r="E38" t="s">
        <v>2292</v>
      </c>
      <c r="F38" s="91">
        <v>6.2751002311706543</v>
      </c>
      <c r="G38" t="s">
        <v>80</v>
      </c>
      <c r="H38" t="s">
        <v>5</v>
      </c>
      <c r="I38" s="91">
        <v>2022</v>
      </c>
      <c r="J38" t="s">
        <v>83</v>
      </c>
      <c r="K38" t="s">
        <v>191</v>
      </c>
      <c r="L38" t="s">
        <v>191</v>
      </c>
      <c r="M38" t="s">
        <v>191</v>
      </c>
    </row>
    <row r="39" spans="1:13" x14ac:dyDescent="0.2">
      <c r="A39" t="s">
        <v>1394</v>
      </c>
      <c r="B39" t="s">
        <v>1393</v>
      </c>
      <c r="C39" s="91">
        <v>38</v>
      </c>
      <c r="D39" t="s">
        <v>187</v>
      </c>
      <c r="E39" t="s">
        <v>2293</v>
      </c>
      <c r="F39" s="91">
        <v>0</v>
      </c>
      <c r="G39" t="s">
        <v>80</v>
      </c>
      <c r="H39" t="s">
        <v>5</v>
      </c>
      <c r="I39" s="91">
        <v>2022</v>
      </c>
      <c r="J39" t="s">
        <v>83</v>
      </c>
      <c r="K39" t="s">
        <v>191</v>
      </c>
      <c r="L39" t="s">
        <v>191</v>
      </c>
      <c r="M39" t="s">
        <v>191</v>
      </c>
    </row>
    <row r="40" spans="1:13" x14ac:dyDescent="0.2">
      <c r="A40" t="s">
        <v>1394</v>
      </c>
      <c r="B40" t="s">
        <v>1393</v>
      </c>
      <c r="C40" s="91">
        <v>39</v>
      </c>
      <c r="D40" t="s">
        <v>188</v>
      </c>
      <c r="E40" t="s">
        <v>2294</v>
      </c>
      <c r="F40" s="91">
        <v>5.0863556861877441</v>
      </c>
      <c r="G40" t="s">
        <v>80</v>
      </c>
      <c r="H40" t="s">
        <v>5</v>
      </c>
      <c r="I40" s="91">
        <v>2022</v>
      </c>
      <c r="J40" t="s">
        <v>83</v>
      </c>
      <c r="K40" t="s">
        <v>191</v>
      </c>
      <c r="L40" t="s">
        <v>191</v>
      </c>
      <c r="M40" t="s">
        <v>191</v>
      </c>
    </row>
    <row r="41" spans="1:13" x14ac:dyDescent="0.2">
      <c r="A41" t="s">
        <v>1394</v>
      </c>
      <c r="B41" t="s">
        <v>1393</v>
      </c>
      <c r="C41" s="91">
        <v>40</v>
      </c>
      <c r="D41" t="s">
        <v>79</v>
      </c>
      <c r="E41" t="s">
        <v>2295</v>
      </c>
      <c r="F41" s="91">
        <v>11.361455917358398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baseColWidth="10" defaultColWidth="7.6640625" defaultRowHeight="15"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ht="15.95" x14ac:dyDescent="0.2">
      <c r="A2" t="s">
        <v>1394</v>
      </c>
      <c r="B2" s="6" t="s">
        <v>1393</v>
      </c>
      <c r="C2" s="91">
        <v>19</v>
      </c>
      <c r="D2" t="s">
        <v>2103</v>
      </c>
      <c r="E2" t="s">
        <v>2274</v>
      </c>
      <c r="F2" s="91">
        <v>100</v>
      </c>
      <c r="G2" t="s">
        <v>80</v>
      </c>
      <c r="H2" t="s">
        <v>2296</v>
      </c>
      <c r="I2" s="91">
        <v>2019</v>
      </c>
      <c r="J2" t="s">
        <v>83</v>
      </c>
      <c r="K2" t="s">
        <v>191</v>
      </c>
      <c r="L2" t="s">
        <v>2300</v>
      </c>
      <c r="M2" t="s">
        <v>2302</v>
      </c>
      <c r="N2" t="s">
        <v>2304</v>
      </c>
    </row>
    <row r="3" spans="1:14" x14ac:dyDescent="0.2">
      <c r="A3" t="s">
        <v>1394</v>
      </c>
      <c r="B3" t="s">
        <v>1393</v>
      </c>
      <c r="C3" s="91">
        <v>23</v>
      </c>
      <c r="D3" t="s">
        <v>180</v>
      </c>
      <c r="E3" t="s">
        <v>2278</v>
      </c>
      <c r="F3" s="91">
        <v>6</v>
      </c>
      <c r="G3" t="s">
        <v>80</v>
      </c>
      <c r="H3" t="s">
        <v>2296</v>
      </c>
      <c r="I3" s="91">
        <v>2018</v>
      </c>
      <c r="J3" t="s">
        <v>83</v>
      </c>
      <c r="K3" t="s">
        <v>191</v>
      </c>
      <c r="L3" t="s">
        <v>2301</v>
      </c>
      <c r="M3" t="s">
        <v>2303</v>
      </c>
      <c r="N3" t="s">
        <v>191</v>
      </c>
    </row>
    <row r="4" spans="1:14" x14ac:dyDescent="0.2">
      <c r="A4" t="s">
        <v>1394</v>
      </c>
      <c r="B4" t="s">
        <v>1393</v>
      </c>
      <c r="C4" s="91">
        <v>24</v>
      </c>
      <c r="D4" t="s">
        <v>2127</v>
      </c>
      <c r="E4" t="s">
        <v>2279</v>
      </c>
      <c r="F4" s="91">
        <v>0.2</v>
      </c>
      <c r="G4" t="s">
        <v>80</v>
      </c>
      <c r="H4" t="s">
        <v>2296</v>
      </c>
      <c r="I4" s="91">
        <v>2018</v>
      </c>
      <c r="J4" t="s">
        <v>83</v>
      </c>
      <c r="K4" t="s">
        <v>191</v>
      </c>
      <c r="L4" t="s">
        <v>2301</v>
      </c>
      <c r="M4" t="s">
        <v>2303</v>
      </c>
      <c r="N4" t="s">
        <v>191</v>
      </c>
    </row>
    <row r="5" spans="1:14" x14ac:dyDescent="0.2">
      <c r="A5" t="s">
        <v>1394</v>
      </c>
      <c r="B5" t="s">
        <v>1393</v>
      </c>
      <c r="C5" s="91">
        <v>25</v>
      </c>
      <c r="D5" t="s">
        <v>179</v>
      </c>
      <c r="E5" t="s">
        <v>2280</v>
      </c>
      <c r="F5" s="91">
        <v>21.5</v>
      </c>
      <c r="G5" t="s">
        <v>80</v>
      </c>
      <c r="H5" t="s">
        <v>2296</v>
      </c>
      <c r="I5" s="91">
        <v>2018</v>
      </c>
      <c r="J5" t="s">
        <v>83</v>
      </c>
      <c r="K5" t="s">
        <v>191</v>
      </c>
      <c r="L5" t="s">
        <v>2301</v>
      </c>
      <c r="M5" t="s">
        <v>2303</v>
      </c>
      <c r="N5" t="s">
        <v>191</v>
      </c>
    </row>
    <row r="6" spans="1:14" x14ac:dyDescent="0.2">
      <c r="A6" t="s">
        <v>1394</v>
      </c>
      <c r="B6" t="s">
        <v>1393</v>
      </c>
      <c r="C6" s="91">
        <v>26</v>
      </c>
      <c r="D6" t="s">
        <v>186</v>
      </c>
      <c r="E6" t="s">
        <v>2281</v>
      </c>
      <c r="F6" s="91">
        <v>72.3</v>
      </c>
      <c r="G6" t="s">
        <v>80</v>
      </c>
      <c r="H6" t="s">
        <v>2296</v>
      </c>
      <c r="I6" s="91">
        <v>2018</v>
      </c>
      <c r="J6" t="s">
        <v>83</v>
      </c>
      <c r="K6" t="s">
        <v>191</v>
      </c>
      <c r="L6" t="s">
        <v>2301</v>
      </c>
      <c r="M6" t="s">
        <v>2303</v>
      </c>
      <c r="N6" t="s">
        <v>191</v>
      </c>
    </row>
    <row r="7" spans="1:14" x14ac:dyDescent="0.2">
      <c r="A7" t="s">
        <v>1394</v>
      </c>
      <c r="B7" t="s">
        <v>1393</v>
      </c>
      <c r="C7" s="91">
        <v>19</v>
      </c>
      <c r="D7" t="s">
        <v>2103</v>
      </c>
      <c r="E7" t="s">
        <v>2274</v>
      </c>
      <c r="F7" s="91">
        <v>100</v>
      </c>
      <c r="G7" t="s">
        <v>80</v>
      </c>
      <c r="H7" t="s">
        <v>2296</v>
      </c>
      <c r="I7" s="91">
        <v>2014</v>
      </c>
      <c r="J7" t="s">
        <v>84</v>
      </c>
      <c r="K7" t="s">
        <v>181</v>
      </c>
      <c r="L7" t="s">
        <v>2305</v>
      </c>
      <c r="M7" t="s">
        <v>2308</v>
      </c>
      <c r="N7" t="s">
        <v>2311</v>
      </c>
    </row>
    <row r="8" spans="1:14" x14ac:dyDescent="0.2">
      <c r="A8" t="s">
        <v>1394</v>
      </c>
      <c r="B8" t="s">
        <v>1393</v>
      </c>
      <c r="C8" s="91">
        <v>19</v>
      </c>
      <c r="D8" t="s">
        <v>2103</v>
      </c>
      <c r="E8" t="s">
        <v>2274</v>
      </c>
      <c r="F8" s="91">
        <v>100</v>
      </c>
      <c r="G8" t="s">
        <v>80</v>
      </c>
      <c r="H8" t="s">
        <v>2296</v>
      </c>
      <c r="I8" s="91">
        <v>2015</v>
      </c>
      <c r="J8" t="s">
        <v>84</v>
      </c>
      <c r="K8" t="s">
        <v>181</v>
      </c>
      <c r="L8" t="s">
        <v>2306</v>
      </c>
      <c r="M8" t="s">
        <v>2309</v>
      </c>
      <c r="N8" t="s">
        <v>2312</v>
      </c>
    </row>
    <row r="9" spans="1:14" x14ac:dyDescent="0.2">
      <c r="A9" t="s">
        <v>1394</v>
      </c>
      <c r="B9" t="s">
        <v>1393</v>
      </c>
      <c r="C9" s="91">
        <v>19</v>
      </c>
      <c r="D9" t="s">
        <v>2103</v>
      </c>
      <c r="E9" t="s">
        <v>2274</v>
      </c>
      <c r="F9" s="91">
        <v>100</v>
      </c>
      <c r="G9" t="s">
        <v>80</v>
      </c>
      <c r="H9" t="s">
        <v>2296</v>
      </c>
      <c r="I9" s="91">
        <v>2016</v>
      </c>
      <c r="J9" t="s">
        <v>84</v>
      </c>
      <c r="K9" t="s">
        <v>181</v>
      </c>
      <c r="L9" t="s">
        <v>2307</v>
      </c>
      <c r="M9" t="s">
        <v>2310</v>
      </c>
      <c r="N9" t="s">
        <v>2313</v>
      </c>
    </row>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546875" defaultRowHeight="15" x14ac:dyDescent="0.2"/>
  <cols>
    <col min="1" max="1" width="39" style="135" bestFit="1" customWidth="1"/>
    <col min="2" max="2" width="23.5546875" style="135" customWidth="1"/>
    <col min="3" max="3" width="11.5546875" style="135" customWidth="1"/>
    <col min="4" max="4" width="14.5546875" style="135" customWidth="1"/>
    <col min="5" max="9" width="27.6640625" style="135" customWidth="1"/>
    <col min="10" max="11" width="11.5546875" style="135"/>
    <col min="12" max="12" width="7.109375" style="143"/>
    <col min="13" max="13" width="35.33203125" style="143" bestFit="1" customWidth="1"/>
    <col min="14" max="20" width="7.109375" style="143"/>
    <col min="21" max="22" width="11.5546875" style="135"/>
    <col min="23" max="25" width="121.88671875" style="135" customWidth="1"/>
    <col min="26" max="16384" width="11.554687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45"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48"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45"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05"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05"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5">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546875" defaultRowHeight="15" x14ac:dyDescent="0.2"/>
  <cols>
    <col min="1" max="1" width="10.6640625"/>
    <col min="2" max="2" width="90.109375" bestFit="1" customWidth="1"/>
    <col min="3" max="4" width="14.109375" customWidth="1"/>
    <col min="5" max="5" width="11.109375" customWidth="1"/>
    <col min="6" max="7" width="16.10937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1178.4692228759995</v>
      </c>
      <c r="D2" s="173">
        <f>'A- Generated'!D12</f>
        <v>1178.4692228759995</v>
      </c>
      <c r="E2" s="173">
        <f>'_Data inputs (all)'!F7</f>
        <v>1178.46923828125</v>
      </c>
      <c r="F2" s="182">
        <f>IF(E2=0,1,ROUND(D2/E2,10))</f>
        <v>0.99999998690000003</v>
      </c>
      <c r="G2" s="182">
        <f>IF(D2=0,1,ROUND(C2/D2,10))</f>
        <v>1</v>
      </c>
    </row>
    <row r="3" spans="1:7" x14ac:dyDescent="0.2">
      <c r="A3" s="6" t="s">
        <v>81</v>
      </c>
      <c r="B3" s="6" t="s">
        <v>87</v>
      </c>
      <c r="C3" s="173">
        <f>v8_</f>
        <v>942.77537830079962</v>
      </c>
      <c r="D3" s="173">
        <f>'A- Generated'!D15</f>
        <v>942.77537830079962</v>
      </c>
      <c r="E3" s="173">
        <f>'_Data inputs (all)'!F9</f>
        <v>942.775390625</v>
      </c>
      <c r="F3" s="182">
        <f t="shared" ref="F3:F17" si="0">IF(E3=0,1,ROUND(D3/E3,10))</f>
        <v>0.99999998690000003</v>
      </c>
      <c r="G3" s="182">
        <f t="shared" ref="G3:G17" si="1">IF(D3=0,1,ROUND(C3/D3,10))</f>
        <v>1</v>
      </c>
    </row>
    <row r="4" spans="1:7" x14ac:dyDescent="0.2">
      <c r="A4" s="6" t="s">
        <v>115</v>
      </c>
      <c r="B4" s="6" t="s">
        <v>2227</v>
      </c>
      <c r="C4" s="173">
        <f>v8_</f>
        <v>942.77537830079962</v>
      </c>
      <c r="D4" s="173">
        <f>'B- Generated by facility type'!F10</f>
        <v>942.77537830080007</v>
      </c>
      <c r="E4" s="173"/>
      <c r="F4" s="182">
        <f t="shared" si="0"/>
        <v>1</v>
      </c>
      <c r="G4" s="182">
        <f t="shared" si="1"/>
        <v>1</v>
      </c>
    </row>
    <row r="5" spans="1:7" x14ac:dyDescent="0.2">
      <c r="A5" s="6" t="s">
        <v>115</v>
      </c>
      <c r="B5" t="s">
        <v>112</v>
      </c>
      <c r="C5" s="173">
        <f>v14_</f>
        <v>118.3202031</v>
      </c>
      <c r="D5" s="173">
        <f>'B- Generated by facility type'!F5</f>
        <v>118.3202031</v>
      </c>
      <c r="E5" s="173">
        <f>'_Data inputs (all)'!F15</f>
        <v>118.32020568847656</v>
      </c>
      <c r="F5" s="182">
        <f t="shared" si="0"/>
        <v>0.99999997809999996</v>
      </c>
      <c r="G5" s="182">
        <f t="shared" si="1"/>
        <v>1</v>
      </c>
    </row>
    <row r="6" spans="1:7" x14ac:dyDescent="0.2">
      <c r="A6" s="6" t="s">
        <v>115</v>
      </c>
      <c r="B6" t="s">
        <v>113</v>
      </c>
      <c r="C6" s="173">
        <f>v15_</f>
        <v>122.48507424911998</v>
      </c>
      <c r="D6" s="173">
        <f>'B- Generated by facility type'!F6</f>
        <v>122.48507424911998</v>
      </c>
      <c r="E6" s="173">
        <f>'_Data inputs (all)'!F16</f>
        <v>122.48507690429688</v>
      </c>
      <c r="F6" s="182">
        <f t="shared" si="0"/>
        <v>0.99999997829999998</v>
      </c>
      <c r="G6" s="182">
        <f t="shared" si="1"/>
        <v>1</v>
      </c>
    </row>
    <row r="7" spans="1:7" x14ac:dyDescent="0.2">
      <c r="A7" s="6" t="s">
        <v>115</v>
      </c>
      <c r="B7" t="s">
        <v>1</v>
      </c>
      <c r="C7" s="173">
        <f>v16_</f>
        <v>578.47536096943998</v>
      </c>
      <c r="D7" s="173">
        <f>'B- Generated by facility type'!F7</f>
        <v>578.47536096943998</v>
      </c>
      <c r="E7" s="173">
        <f>'_Data inputs (all)'!F17</f>
        <v>578.475341796875</v>
      </c>
      <c r="F7" s="182">
        <f t="shared" si="0"/>
        <v>1.0000000331000001</v>
      </c>
      <c r="G7" s="182">
        <f t="shared" si="1"/>
        <v>1</v>
      </c>
    </row>
    <row r="8" spans="1:7" x14ac:dyDescent="0.2">
      <c r="A8" s="6" t="s">
        <v>115</v>
      </c>
      <c r="B8" t="s">
        <v>2</v>
      </c>
      <c r="C8" s="173">
        <f>v17_</f>
        <v>103.14366504903998</v>
      </c>
      <c r="D8" s="173">
        <f>'B- Generated by facility type'!F8</f>
        <v>103.14366504903998</v>
      </c>
      <c r="E8" s="173">
        <f>'_Data inputs (all)'!F18</f>
        <v>103.14366149902344</v>
      </c>
      <c r="F8" s="182">
        <f t="shared" si="0"/>
        <v>1.0000000344</v>
      </c>
      <c r="G8" s="182">
        <f t="shared" si="1"/>
        <v>1</v>
      </c>
    </row>
    <row r="9" spans="1:7" x14ac:dyDescent="0.2">
      <c r="A9" s="6" t="s">
        <v>115</v>
      </c>
      <c r="B9" t="s">
        <v>3</v>
      </c>
      <c r="C9" s="173">
        <f>v18_</f>
        <v>20.3510749332</v>
      </c>
      <c r="D9" s="173">
        <f>'B- Generated by facility type'!F9</f>
        <v>20.3510749332</v>
      </c>
      <c r="E9" s="173">
        <f>'_Data inputs (all)'!F19</f>
        <v>20.35107421875</v>
      </c>
      <c r="F9" s="182">
        <f t="shared" si="0"/>
        <v>1.0000000351</v>
      </c>
      <c r="G9" s="182">
        <f t="shared" si="1"/>
        <v>1</v>
      </c>
    </row>
    <row r="10" spans="1:7" x14ac:dyDescent="0.2">
      <c r="A10" s="6" t="s">
        <v>116</v>
      </c>
      <c r="B10" s="6" t="s">
        <v>2135</v>
      </c>
      <c r="C10" s="173">
        <f>v29_</f>
        <v>118.3202031</v>
      </c>
      <c r="D10" s="173">
        <f>'D- Delivered'!B4</f>
        <v>118.3202031</v>
      </c>
      <c r="E10" s="173">
        <f>'_Data inputs (all)'!F30</f>
        <v>118.32020568847656</v>
      </c>
      <c r="F10" s="182">
        <f t="shared" si="0"/>
        <v>0.99999997809999996</v>
      </c>
      <c r="G10" s="182">
        <f t="shared" si="1"/>
        <v>1</v>
      </c>
    </row>
    <row r="11" spans="1:7" x14ac:dyDescent="0.2">
      <c r="A11" s="6" t="s">
        <v>116</v>
      </c>
      <c r="B11" s="6" t="s">
        <v>2136</v>
      </c>
      <c r="C11" s="173">
        <f>v30_</f>
        <v>13.167145481780397</v>
      </c>
      <c r="D11" s="173">
        <f>'D- Delivered'!B5</f>
        <v>13.167145481780397</v>
      </c>
      <c r="E11" s="173">
        <f>'_Data inputs (all)'!F31</f>
        <v>13.167145729064941</v>
      </c>
      <c r="F11" s="182">
        <f t="shared" si="0"/>
        <v>0.9999999812</v>
      </c>
      <c r="G11" s="182">
        <f t="shared" si="1"/>
        <v>1</v>
      </c>
    </row>
    <row r="12" spans="1:7" x14ac:dyDescent="0.2">
      <c r="A12" s="6" t="s">
        <v>116</v>
      </c>
      <c r="B12" s="6" t="s">
        <v>2137</v>
      </c>
      <c r="C12" s="173">
        <f>v31_</f>
        <v>47.952906568530466</v>
      </c>
      <c r="D12" s="173">
        <f>'D- Delivered'!B6</f>
        <v>47.952906568530466</v>
      </c>
      <c r="E12" s="173">
        <f>'_Data inputs (all)'!F32</f>
        <v>47.952907562255859</v>
      </c>
      <c r="F12" s="182">
        <f t="shared" si="0"/>
        <v>0.99999997929999995</v>
      </c>
      <c r="G12" s="182">
        <f t="shared" si="1"/>
        <v>1</v>
      </c>
    </row>
    <row r="13" spans="1:7" x14ac:dyDescent="0.2">
      <c r="A13" s="6" t="s">
        <v>116</v>
      </c>
      <c r="B13" s="6" t="s">
        <v>2138</v>
      </c>
      <c r="C13" s="173">
        <f>v32_</f>
        <v>179.44025515031086</v>
      </c>
      <c r="D13" s="173">
        <f>'D- Delivered'!B7</f>
        <v>179.44025515031086</v>
      </c>
      <c r="E13" s="173">
        <f>'_Data inputs (all)'!F33</f>
        <v>179.44026184082031</v>
      </c>
      <c r="F13" s="182">
        <f t="shared" si="0"/>
        <v>0.99999996270000002</v>
      </c>
      <c r="G13" s="182">
        <f t="shared" si="1"/>
        <v>1</v>
      </c>
    </row>
    <row r="14" spans="1:7" x14ac:dyDescent="0.2">
      <c r="A14" s="6" t="s">
        <v>194</v>
      </c>
      <c r="B14" s="6" t="s">
        <v>117</v>
      </c>
      <c r="C14" s="173">
        <f>v33_</f>
        <v>59.16010155</v>
      </c>
      <c r="D14" s="173">
        <f>'E- Safely treated'!B4</f>
        <v>59.16010155</v>
      </c>
      <c r="E14" s="173">
        <f>'_Data inputs (all)'!F34</f>
        <v>59.160102844238281</v>
      </c>
      <c r="F14" s="182">
        <f t="shared" si="0"/>
        <v>0.99999997809999996</v>
      </c>
      <c r="G14" s="182">
        <f t="shared" si="1"/>
        <v>1</v>
      </c>
    </row>
    <row r="15" spans="1:7" x14ac:dyDescent="0.2">
      <c r="A15" s="6" t="s">
        <v>194</v>
      </c>
      <c r="B15" s="6" t="s">
        <v>717</v>
      </c>
      <c r="C15" s="173">
        <f>v34_</f>
        <v>0</v>
      </c>
      <c r="D15" s="173">
        <f>'E- Safely treated'!B5</f>
        <v>0</v>
      </c>
      <c r="E15" s="173">
        <f>'_Data inputs (all)'!F35</f>
        <v>0</v>
      </c>
      <c r="F15" s="182">
        <f t="shared" si="0"/>
        <v>1</v>
      </c>
      <c r="G15" s="182">
        <f t="shared" si="1"/>
        <v>1</v>
      </c>
    </row>
    <row r="16" spans="1:7" x14ac:dyDescent="0.2">
      <c r="A16" s="6" t="s">
        <v>194</v>
      </c>
      <c r="B16" s="6" t="s">
        <v>721</v>
      </c>
      <c r="C16" s="173">
        <f>v35_</f>
        <v>47.952906568530466</v>
      </c>
      <c r="D16" s="173">
        <f>'E- Safely treated'!B6</f>
        <v>47.952906568530466</v>
      </c>
      <c r="E16" s="173">
        <f>'_Data inputs (all)'!F36</f>
        <v>47.952907562255859</v>
      </c>
      <c r="F16" s="182">
        <f t="shared" si="0"/>
        <v>0.99999997929999995</v>
      </c>
      <c r="G16" s="182">
        <f t="shared" si="1"/>
        <v>1</v>
      </c>
    </row>
    <row r="17" spans="1:7" x14ac:dyDescent="0.2">
      <c r="A17" s="6" t="s">
        <v>194</v>
      </c>
      <c r="B17" t="s">
        <v>55</v>
      </c>
      <c r="C17" s="173">
        <f>v36_</f>
        <v>107.11300811853047</v>
      </c>
      <c r="D17" s="173">
        <f>'E- Safely treated'!B7</f>
        <v>107.11300811853047</v>
      </c>
      <c r="E17" s="173">
        <f>'_Data inputs (all)'!F37</f>
        <v>107.11300659179688</v>
      </c>
      <c r="F17" s="182">
        <f t="shared" si="0"/>
        <v>1.0000000143000001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6640625" defaultRowHeight="18" x14ac:dyDescent="0.25"/>
  <cols>
    <col min="1" max="1" width="151.6640625" style="99" customWidth="1"/>
    <col min="2" max="8" width="8.6640625" style="99"/>
    <col min="9" max="9" width="8.109375" style="99" customWidth="1"/>
    <col min="10" max="16384" width="8.6640625" style="99"/>
  </cols>
  <sheetData>
    <row r="1" spans="1:1" ht="409.5" customHeight="1" x14ac:dyDescent="0.25"/>
    <row r="2" spans="1:1" ht="409.5" customHeight="1" x14ac:dyDescent="0.25">
      <c r="A2" s="99" cm="1">
        <f t="array" ref="A2">Guidance1</f>
        <v>0</v>
      </c>
    </row>
    <row r="3" spans="1:1" ht="409.5" customHeight="1" x14ac:dyDescent="0.25"/>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6640625" defaultRowHeight="15" x14ac:dyDescent="0.2"/>
  <cols>
    <col min="1" max="1" width="50.6640625" style="105" customWidth="1"/>
    <col min="2" max="2" width="15.6640625" style="1" customWidth="1"/>
    <col min="3" max="3" width="10.6640625" style="1" customWidth="1"/>
    <col min="4" max="4" width="100.6640625" customWidth="1"/>
    <col min="5" max="5" width="30.6640625" style="1" customWidth="1"/>
    <col min="6" max="6" width="18" customWidth="1"/>
    <col min="7" max="7" width="15.6640625" customWidth="1"/>
    <col min="8" max="10" width="10.6640625" style="1" customWidth="1"/>
    <col min="11" max="11" width="75.6640625" style="105" customWidth="1"/>
    <col min="12" max="12" width="20.6640625" customWidth="1"/>
    <col min="13" max="13" width="75.6640625" style="105" customWidth="1"/>
  </cols>
  <sheetData>
    <row r="1" spans="1:13"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ht="15.95"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Kenya</v>
      </c>
      <c r="B2" s="42" t="str">
        <f>'_Data inputs (all)'!B2</f>
        <v>KEN</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54027.49</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ht="15.95"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Kenya</v>
      </c>
      <c r="B3" s="42" t="str">
        <f>'_Data inputs (all)'!B3</f>
        <v>KEN</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39.76</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ht="15.95"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Kenya</v>
      </c>
      <c r="B4" s="42" t="str">
        <f>'_Data inputs (all)'!B4</f>
        <v>KEN</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60.24</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ht="15.9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Kenya</v>
      </c>
      <c r="B5" s="42" t="str">
        <f>'_Data inputs (all)'!B5</f>
        <v>KEN</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ht="15.95"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Kenya</v>
      </c>
      <c r="B6" s="42" t="str">
        <f>'_Data inputs (all)'!B6</f>
        <v>KEN</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ht="15.95"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Kenya</v>
      </c>
      <c r="B7" s="42" t="str">
        <f>'_Data inputs (all)'!B7</f>
        <v>KEN</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1178.4692228759995</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ht="15.95"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Kenya</v>
      </c>
      <c r="B8" s="42" t="str">
        <f>'_Data inputs (all)'!B8</f>
        <v>KEN</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ht="15.95"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Kenya</v>
      </c>
      <c r="B9" s="42" t="str">
        <f>'_Data inputs (all)'!B9</f>
        <v>KEN</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942.77537830079962</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ht="15.95"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Kenya</v>
      </c>
      <c r="B10" s="42" t="str">
        <f>'_Data inputs (all)'!B10</f>
        <v>KEN</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6.25</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ht="15.95"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Kenya</v>
      </c>
      <c r="B11" s="42" t="str">
        <f>'_Data inputs (all)'!B11</f>
        <v>KEN</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6.47</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ht="15.95"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Kenya</v>
      </c>
      <c r="B12" s="42" t="str">
        <f>'_Data inputs (all)'!B12</f>
        <v>KEN</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48.14</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ht="15.95"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Kenya</v>
      </c>
      <c r="B13" s="42" t="str">
        <f>'_Data inputs (all)'!B13</f>
        <v>KEN</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32.69</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ht="15.95"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Kenya</v>
      </c>
      <c r="B14" s="42" t="str">
        <f>'_Data inputs (all)'!B14</f>
        <v>KEN</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6.45</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ht="15.9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Kenya</v>
      </c>
      <c r="B15" s="42" t="str">
        <f>'_Data inputs (all)'!B15</f>
        <v>KEN</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118.3202031</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ht="15.95"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Kenya</v>
      </c>
      <c r="B16" s="42" t="str">
        <f>'_Data inputs (all)'!B16</f>
        <v>KEN</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122.48507424911998</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ht="15.95"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Kenya</v>
      </c>
      <c r="B17" s="42" t="str">
        <f>'_Data inputs (all)'!B17</f>
        <v>KEN</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578.47536096943998</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ht="15.95"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Kenya</v>
      </c>
      <c r="B18" s="42" t="str">
        <f>'_Data inputs (all)'!B18</f>
        <v>KEN</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103.14366504903998</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ht="15.95"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Kenya</v>
      </c>
      <c r="B19" s="42" t="str">
        <f>'_Data inputs (all)'!B19</f>
        <v>KEN</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20.3510749332</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ht="15.95"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Kenya</v>
      </c>
      <c r="B20" s="42" t="str">
        <f>'_Data inputs (all)'!B20</f>
        <v>KEN</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100</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2019</v>
      </c>
      <c r="J20" s="187" t="str">
        <f>IF(ISTEXT('_Data inputs (all)'!J20),'_Data inputs (all)'!J20,"")</f>
        <v>Yes</v>
      </c>
      <c r="K20" s="188" t="str">
        <f>IF(ISTEXT('_Data inputs (all)'!K20),'_Data inputs (all)'!K20,"")</f>
        <v>UNSD, Country Files from the UNSD/UNEP data collection on Environment Statistics, 2019 (date accessed: September 2022)</v>
      </c>
      <c r="L20" s="186" t="str">
        <f>IF(ISTEXT('_Data inputs (all)'!L20),'_Data inputs (all)'!L20,"")</f>
        <v>KEN_2019_UNSD</v>
      </c>
      <c r="M20" s="188" t="str">
        <f>IF(ISTEXT('_Data inputs (all)'!M20),'_Data inputs (all)'!M20,"")</f>
        <v>Table W5, derived from the proportion of the population connected to wastewater treatment plants (line 2=9.7%) divided by the proportion of the population connected to wastewater collecting systems (sewers; line 1=9.7%)</v>
      </c>
    </row>
    <row r="21" spans="1:13" ht="15.95"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Kenya</v>
      </c>
      <c r="B21" s="42" t="str">
        <f>'_Data inputs (all)'!B21</f>
        <v>KEN</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f>IF(ISNUMBER('_Data inputs (all)'!F21),'_Data inputs (all)'!F21,"")</f>
        <v>50</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Percentage</v>
      </c>
      <c r="H21" s="186" t="str">
        <f>'_Data inputs (all)'!H21</f>
        <v>A</v>
      </c>
      <c r="I21" s="187">
        <f>IF(ISNUMBER('_Data inputs (all)'!I21),'_Data inputs (all)'!I21,"")</f>
        <v>2022</v>
      </c>
      <c r="J21" s="187" t="str">
        <f>IF(ISTEXT('_Data inputs (all)'!J21),'_Data inputs (all)'!J21,"")</f>
        <v>Yes</v>
      </c>
      <c r="K21" s="188" t="str">
        <f>IF(ISTEXT('_Data inputs (all)'!K21),'_Data inputs (all)'!K21,"")</f>
        <v>Default assumption</v>
      </c>
      <c r="L21" s="186" t="str">
        <f>IF(ISTEXT('_Data inputs (all)'!L21),'_Data inputs (all)'!L21,"")</f>
        <v/>
      </c>
      <c r="M21" s="188" t="str">
        <f>IF(ISTEXT('_Data inputs (all)'!M21),'_Data inputs (all)'!M21,"")</f>
        <v/>
      </c>
    </row>
    <row r="22" spans="1:13" ht="15.95"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Kenya</v>
      </c>
      <c r="B22" s="42" t="str">
        <f>'_Data inputs (all)'!B22</f>
        <v>KEN</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t="str">
        <f>'_Data inputs (all)'!H22</f>
        <v/>
      </c>
      <c r="I22" s="187" t="str">
        <f>IF(ISNUMBER('_Data inputs (all)'!I22),'_Data inputs (all)'!I22,"")</f>
        <v/>
      </c>
      <c r="J22" s="187" t="str">
        <f>IF(ISTEXT('_Data inputs (all)'!J22),'_Data inputs (all)'!J22,"")</f>
        <v>No</v>
      </c>
      <c r="K22" s="188" t="str">
        <f>IF(ISTEXT('_Data inputs (all)'!K22),'_Data inputs (all)'!K22,"")</f>
        <v/>
      </c>
      <c r="L22" s="186" t="str">
        <f>IF(ISTEXT('_Data inputs (all)'!L22),'_Data inputs (all)'!L22,"")</f>
        <v/>
      </c>
      <c r="M22" s="188" t="str">
        <f>IF(ISTEXT('_Data inputs (all)'!M22),'_Data inputs (all)'!M22,"")</f>
        <v/>
      </c>
    </row>
    <row r="23" spans="1:13" ht="15.95"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Kenya</v>
      </c>
      <c r="B23" s="42" t="str">
        <f>'_Data inputs (all)'!B23</f>
        <v>KEN</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ht="15.95"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Kenya</v>
      </c>
      <c r="B24" s="42" t="str">
        <f>'_Data inputs (all)'!B24</f>
        <v>KEN</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6</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R</v>
      </c>
      <c r="I24" s="187">
        <f>IF(ISNUMBER('_Data inputs (all)'!I24),'_Data inputs (all)'!I24,"")</f>
        <v>2018</v>
      </c>
      <c r="J24" s="187" t="str">
        <f>IF(ISTEXT('_Data inputs (all)'!J24),'_Data inputs (all)'!J24,"")</f>
        <v>Yes</v>
      </c>
      <c r="K24" s="188" t="str">
        <f>IF(ISTEXT('_Data inputs (all)'!K24),'_Data inputs (all)'!K24,"")</f>
        <v>Performance Monitoring and Accountability 2020 (PMA2020) Project, International Centre for Reproductive Health Kenya (ICRHK), Baltimore, MD: PMA2020, Bill &amp; Melinda Gates Institute for Population and Reproductive Health, Johns Hopkins Bloomberg School of Public Health.</v>
      </c>
      <c r="L24" s="186" t="str">
        <f>IF(ISTEXT('_Data inputs (all)'!L24),'_Data inputs (all)'!L24,"")</f>
        <v>KEN_2018_PMA</v>
      </c>
      <c r="M24" s="188" t="str">
        <f>IF(ISTEXT('_Data inputs (all)'!M24),'_Data inputs (all)'!M24,"")</f>
        <v/>
      </c>
    </row>
    <row r="25" spans="1:13" ht="15.9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Kenya</v>
      </c>
      <c r="B25" s="42" t="str">
        <f>'_Data inputs (all)'!B25</f>
        <v>KEN</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0.2</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R</v>
      </c>
      <c r="I25" s="187">
        <f>IF(ISNUMBER('_Data inputs (all)'!I25),'_Data inputs (all)'!I25,"")</f>
        <v>2018</v>
      </c>
      <c r="J25" s="187" t="str">
        <f>IF(ISTEXT('_Data inputs (all)'!J25),'_Data inputs (all)'!J25,"")</f>
        <v>Yes</v>
      </c>
      <c r="K25" s="188" t="str">
        <f>IF(ISTEXT('_Data inputs (all)'!K25),'_Data inputs (all)'!K25,"")</f>
        <v>Performance Monitoring and Accountability 2020 (PMA2020) Project, International Centre for Reproductive Health Kenya (ICRHK), Baltimore, MD: PMA2020, Bill &amp; Melinda Gates Institute for Population and Reproductive Health, Johns Hopkins Bloomberg School of Public Health.</v>
      </c>
      <c r="L25" s="186" t="str">
        <f>IF(ISTEXT('_Data inputs (all)'!L25),'_Data inputs (all)'!L25,"")</f>
        <v>KEN_2018_PMA</v>
      </c>
      <c r="M25" s="188" t="str">
        <f>IF(ISTEXT('_Data inputs (all)'!M25),'_Data inputs (all)'!M25,"")</f>
        <v/>
      </c>
    </row>
    <row r="26" spans="1:13" ht="15.95"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Kenya</v>
      </c>
      <c r="B26" s="42" t="str">
        <f>'_Data inputs (all)'!B26</f>
        <v>KEN</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21.5</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R</v>
      </c>
      <c r="I26" s="187">
        <f>IF(ISNUMBER('_Data inputs (all)'!I26),'_Data inputs (all)'!I26,"")</f>
        <v>2018</v>
      </c>
      <c r="J26" s="187" t="str">
        <f>IF(ISTEXT('_Data inputs (all)'!J26),'_Data inputs (all)'!J26,"")</f>
        <v>Yes</v>
      </c>
      <c r="K26" s="188" t="str">
        <f>IF(ISTEXT('_Data inputs (all)'!K26),'_Data inputs (all)'!K26,"")</f>
        <v>Performance Monitoring and Accountability 2020 (PMA2020) Project, International Centre for Reproductive Health Kenya (ICRHK), Baltimore, MD: PMA2020, Bill &amp; Melinda Gates Institute for Population and Reproductive Health, Johns Hopkins Bloomberg School of Public Health.</v>
      </c>
      <c r="L26" s="186" t="str">
        <f>IF(ISTEXT('_Data inputs (all)'!L26),'_Data inputs (all)'!L26,"")</f>
        <v>KEN_2018_PMA</v>
      </c>
      <c r="M26" s="188" t="str">
        <f>IF(ISTEXT('_Data inputs (all)'!M26),'_Data inputs (all)'!M26,"")</f>
        <v/>
      </c>
    </row>
    <row r="27" spans="1:13" ht="15.95"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Kenya</v>
      </c>
      <c r="B27" s="42" t="str">
        <f>'_Data inputs (all)'!B27</f>
        <v>KEN</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72.3</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R</v>
      </c>
      <c r="I27" s="187">
        <f>IF(ISNUMBER('_Data inputs (all)'!I27),'_Data inputs (all)'!I27,"")</f>
        <v>2018</v>
      </c>
      <c r="J27" s="187" t="str">
        <f>IF(ISTEXT('_Data inputs (all)'!J27),'_Data inputs (all)'!J27,"")</f>
        <v>Yes</v>
      </c>
      <c r="K27" s="188" t="str">
        <f>IF(ISTEXT('_Data inputs (all)'!K27),'_Data inputs (all)'!K27,"")</f>
        <v>Performance Monitoring and Accountability 2020 (PMA2020) Project, International Centre for Reproductive Health Kenya (ICRHK), Baltimore, MD: PMA2020, Bill &amp; Melinda Gates Institute for Population and Reproductive Health, Johns Hopkins Bloomberg School of Public Health.</v>
      </c>
      <c r="L27" s="186" t="str">
        <f>IF(ISTEXT('_Data inputs (all)'!L27),'_Data inputs (all)'!L27,"")</f>
        <v>KEN_2018_PMA</v>
      </c>
      <c r="M27" s="188" t="str">
        <f>IF(ISTEXT('_Data inputs (all)'!M27),'_Data inputs (all)'!M27,"")</f>
        <v/>
      </c>
    </row>
    <row r="28" spans="1:13" ht="15.95"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Kenya</v>
      </c>
      <c r="B28" s="42" t="str">
        <f>'_Data inputs (all)'!B28</f>
        <v>KEN</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ht="15.95"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Kenya</v>
      </c>
      <c r="B29" s="42" t="str">
        <f>'_Data inputs (all)'!B29</f>
        <v>KEN</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0</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Default assumption</v>
      </c>
      <c r="L29" s="186" t="str">
        <f>IF(ISTEXT('_Data inputs (all)'!L29),'_Data inputs (all)'!L29,"")</f>
        <v/>
      </c>
      <c r="M29" s="188" t="str">
        <f>IF(ISTEXT('_Data inputs (all)'!M29),'_Data inputs (all)'!M29,"")</f>
        <v/>
      </c>
    </row>
    <row r="30" spans="1:13" ht="15.95"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Kenya</v>
      </c>
      <c r="B30" s="42" t="str">
        <f>'_Data inputs (all)'!B30</f>
        <v>KEN</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118.3202031</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ht="15.95"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Kenya</v>
      </c>
      <c r="B31" s="42" t="str">
        <f>'_Data inputs (all)'!B31</f>
        <v>KEN</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13.167145481780397</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ht="15.95"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Kenya</v>
      </c>
      <c r="B32" s="42" t="str">
        <f>'_Data inputs (all)'!B32</f>
        <v>KEN</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47.952906568530466</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ht="15.95"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Kenya</v>
      </c>
      <c r="B33" s="42" t="str">
        <f>'_Data inputs (all)'!B33</f>
        <v>KEN</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179.44025515031086</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ht="15.95"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Kenya</v>
      </c>
      <c r="B34" s="42" t="str">
        <f>'_Data inputs (all)'!B34</f>
        <v>KEN</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59.16010155</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ht="15.9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Kenya</v>
      </c>
      <c r="B35" s="42" t="str">
        <f>'_Data inputs (all)'!B35</f>
        <v>KEN</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0</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ht="15.95"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Kenya</v>
      </c>
      <c r="B36" s="42" t="str">
        <f>'_Data inputs (all)'!B36</f>
        <v>KEN</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47.952906568530466</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ht="15.95"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Kenya</v>
      </c>
      <c r="B37" s="42" t="str">
        <f>'_Data inputs (all)'!B37</f>
        <v>KEN</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107.11300811853047</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ht="15.95"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Kenya</v>
      </c>
      <c r="B38" s="42" t="str">
        <f>'_Data inputs (all)'!B38</f>
        <v>KEN</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6.2751004016064291</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ht="15.95"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Kenya</v>
      </c>
      <c r="B39" s="42" t="str">
        <f>'_Data inputs (all)'!B39</f>
        <v>KEN</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0</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Kenya</v>
      </c>
      <c r="B40" s="42" t="str">
        <f>'_Data inputs (all)'!B40</f>
        <v>KEN</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5.086355421686747</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Kenya</v>
      </c>
      <c r="B41" s="42" t="str">
        <f>'_Data inputs (all)'!B41</f>
        <v>KEN</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11.361455823293177</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546875" defaultRowHeight="15" x14ac:dyDescent="0.2"/>
  <cols>
    <col min="1" max="1" width="50.6640625" style="105" customWidth="1"/>
    <col min="2" max="2" width="15.6640625" style="1" customWidth="1"/>
    <col min="3" max="3" width="10.6640625" style="1" customWidth="1"/>
    <col min="4" max="4" width="100.6640625" style="105" customWidth="1"/>
    <col min="5" max="5" width="30.6640625" style="106" customWidth="1"/>
    <col min="6" max="6" width="10.6640625" style="106" customWidth="1"/>
    <col min="7" max="7" width="15.6640625" style="105" customWidth="1"/>
    <col min="8" max="8" width="10.6640625" style="106" customWidth="1"/>
    <col min="9" max="10" width="10.6640625" style="1" customWidth="1"/>
    <col min="11" max="12" width="75.6640625" style="105" customWidth="1"/>
    <col min="13" max="13" width="20.6640625" style="1" customWidth="1"/>
    <col min="14" max="14" width="75.6640625" style="105" customWidth="1"/>
  </cols>
  <sheetData>
    <row r="1" spans="1:14"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ht="15.95"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Kenya</v>
      </c>
      <c r="B2" s="1" t="str">
        <f>IF(ISTEXT('_Data inputs (reported)'!B2),'_Data inputs (reported)'!B2,"")</f>
        <v>KEN</v>
      </c>
      <c r="C2" s="179">
        <f>IF(ISBLANK('_Data inputs (reported)'!C2),"",'_Data inputs (reported)'!C2)</f>
        <v>19</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Proportion of sewer wastewater delivered to treatment plants</v>
      </c>
      <c r="E2" s="1" t="str">
        <f>IF(ISTEXT('_Data inputs (reported)'!E2),'_Data inputs (reported)'!E2,"")</f>
        <v>SEW_DEL_WWTP_PCT</v>
      </c>
      <c r="F2" s="8">
        <f>IF(ISNUMBER('_Data inputs (reported)'!F2),'_Data inputs (reported)'!F2,"")</f>
        <v>100</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Percentage</v>
      </c>
      <c r="H2" s="1" t="str">
        <f>IF(ISTEXT('_Data inputs (reported)'!H2),'_Data inputs (reported)'!H2,"")</f>
        <v>R</v>
      </c>
      <c r="I2" s="42">
        <f>IF(ISNUMBER('_Data inputs (reported)'!I2),'_Data inputs (reported)'!I2,"")</f>
        <v>2019</v>
      </c>
      <c r="J2" s="1" t="str">
        <f>IF(ISTEXT('_Data inputs (reported)'!J2),'_Data inputs (reported)'!J2,"")</f>
        <v>Yes</v>
      </c>
      <c r="K2" s="105" t="str">
        <f>IF(ISTEXT('_Data inputs (reported)'!K2),'_Data inputs (reported)'!K2,"")</f>
        <v/>
      </c>
      <c r="L2" s="105" t="str">
        <f>IF(ISTEXT('_Data inputs (reported)'!L2),'_Data inputs (reported)'!L2,"")</f>
        <v>UNSD, Country Files from the UNSD/UNEP data collection on Environment Statistics, 2019 (date accessed: September 2022)</v>
      </c>
      <c r="M2" s="1" t="str">
        <f>IF(ISTEXT('_Data inputs (reported)'!M2),'_Data inputs (reported)'!M2,"")</f>
        <v>KEN_2019_UNSD</v>
      </c>
      <c r="N2" s="105" t="str">
        <f>IF(ISTEXT('_Data inputs (reported)'!N2),'_Data inputs (reported)'!N2,"")</f>
        <v>Table W5, derived from the proportion of the population connected to wastewater treatment plants (line 2=9.7%) divided by the proportion of the population connected to wastewater collecting systems (sewers; line 1=9.7%)</v>
      </c>
    </row>
    <row r="3" spans="1:14" ht="15.95"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Kenya</v>
      </c>
      <c r="B3" s="1" t="str">
        <f>IF(ISTEXT('_Data inputs (reported)'!B3),'_Data inputs (reported)'!B3,"")</f>
        <v>KEN</v>
      </c>
      <c r="C3" s="179">
        <f>IF(ISBLANK('_Data inputs (reported)'!C3),"",'_Data inputs (reported)'!C3)</f>
        <v>23</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septic tanks with faecal sludge emptied and buried on-site</v>
      </c>
      <c r="E3" s="1" t="str">
        <f>IF(ISTEXT('_Data inputs (reported)'!E3),'_Data inputs (reported)'!E3,"")</f>
        <v>SEP_ON_BUR_PCT</v>
      </c>
      <c r="F3" s="8">
        <f>IF(ISNUMBER('_Data inputs (reported)'!F3),'_Data inputs (reported)'!F3,"")</f>
        <v>6</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3" s="1" t="str">
        <f>IF(ISTEXT('_Data inputs (reported)'!H3),'_Data inputs (reported)'!H3,"")</f>
        <v>R</v>
      </c>
      <c r="I3" s="42">
        <f>IF(ISNUMBER('_Data inputs (reported)'!I3),'_Data inputs (reported)'!I3,"")</f>
        <v>2018</v>
      </c>
      <c r="J3" s="1" t="str">
        <f>IF(ISTEXT('_Data inputs (reported)'!J3),'_Data inputs (reported)'!J3,"")</f>
        <v>Yes</v>
      </c>
      <c r="K3" s="105" t="str">
        <f>IF(ISTEXT('_Data inputs (reported)'!K3),'_Data inputs (reported)'!K3,"")</f>
        <v/>
      </c>
      <c r="L3" s="105" t="str">
        <f>IF(ISTEXT('_Data inputs (reported)'!L3),'_Data inputs (reported)'!L3,"")</f>
        <v>Performance Monitoring and Accountability 2020 (PMA2020) Project, International Centre for Reproductive Health Kenya (ICRHK), Baltimore, MD: PMA2020, Bill &amp; Melinda Gates Institute for Population and Reproductive Health, Johns Hopkins Bloomberg School of Public Health.</v>
      </c>
      <c r="M3" s="1" t="str">
        <f>IF(ISTEXT('_Data inputs (reported)'!M3),'_Data inputs (reported)'!M3,"")</f>
        <v>KEN_2018_PMA</v>
      </c>
      <c r="N3" s="105" t="str">
        <f>IF(ISTEXT('_Data inputs (reported)'!N3),'_Data inputs (reported)'!N3,"")</f>
        <v/>
      </c>
    </row>
    <row r="4" spans="1:14" ht="15.95"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Kenya</v>
      </c>
      <c r="B4" s="1" t="str">
        <f>IF(ISTEXT('_Data inputs (reported)'!B4),'_Data inputs (reported)'!B4,"")</f>
        <v>KEN</v>
      </c>
      <c r="C4" s="179">
        <f>IF(ISBLANK('_Data inputs (reported)'!C4),"",'_Data inputs (reported)'!C4)</f>
        <v>24</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septic tanks with faecal sludge emptied and discharged locally (not delivered to treatment)</v>
      </c>
      <c r="E4" s="1" t="str">
        <f>IF(ISTEXT('_Data inputs (reported)'!E4),'_Data inputs (reported)'!E4,"")</f>
        <v>SEP_LOCAL_PCT</v>
      </c>
      <c r="F4" s="8">
        <f>IF(ISNUMBER('_Data inputs (reported)'!F4),'_Data inputs (reported)'!F4,"")</f>
        <v>0.2</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4" s="1" t="str">
        <f>IF(ISTEXT('_Data inputs (reported)'!H4),'_Data inputs (reported)'!H4,"")</f>
        <v>R</v>
      </c>
      <c r="I4" s="42">
        <f>IF(ISNUMBER('_Data inputs (reported)'!I4),'_Data inputs (reported)'!I4,"")</f>
        <v>2018</v>
      </c>
      <c r="J4" s="1" t="str">
        <f>IF(ISTEXT('_Data inputs (reported)'!J4),'_Data inputs (reported)'!J4,"")</f>
        <v>Yes</v>
      </c>
      <c r="K4" s="105" t="str">
        <f>IF(ISTEXT('_Data inputs (reported)'!K4),'_Data inputs (reported)'!K4,"")</f>
        <v/>
      </c>
      <c r="L4" s="105" t="str">
        <f>IF(ISTEXT('_Data inputs (reported)'!L4),'_Data inputs (reported)'!L4,"")</f>
        <v>Performance Monitoring and Accountability 2020 (PMA2020) Project, International Centre for Reproductive Health Kenya (ICRHK), Baltimore, MD: PMA2020, Bill &amp; Melinda Gates Institute for Population and Reproductive Health, Johns Hopkins Bloomberg School of Public Health.</v>
      </c>
      <c r="M4" s="1" t="str">
        <f>IF(ISTEXT('_Data inputs (reported)'!M4),'_Data inputs (reported)'!M4,"")</f>
        <v>KEN_2018_PMA</v>
      </c>
      <c r="N4" s="105" t="str">
        <f>IF(ISTEXT('_Data inputs (reported)'!N4),'_Data inputs (reported)'!N4,"")</f>
        <v/>
      </c>
    </row>
    <row r="5" spans="1:14" ht="15.9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Kenya</v>
      </c>
      <c r="B5" s="1" t="str">
        <f>IF(ISTEXT('_Data inputs (reported)'!B5),'_Data inputs (reported)'!B5,"")</f>
        <v>KEN</v>
      </c>
      <c r="C5" s="179">
        <f>IF(ISBLANK('_Data inputs (reported)'!C5),"",'_Data inputs (reported)'!C5)</f>
        <v>25</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septic tanks with faecal sludge emptied and removed off-site</v>
      </c>
      <c r="E5" s="1" t="str">
        <f>IF(ISTEXT('_Data inputs (reported)'!E5),'_Data inputs (reported)'!E5,"")</f>
        <v>SEP_OFF_EMPT_PCT</v>
      </c>
      <c r="F5" s="8">
        <f>IF(ISNUMBER('_Data inputs (reported)'!F5),'_Data inputs (reported)'!F5,"")</f>
        <v>21.5</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5" s="1" t="str">
        <f>IF(ISTEXT('_Data inputs (reported)'!H5),'_Data inputs (reported)'!H5,"")</f>
        <v>R</v>
      </c>
      <c r="I5" s="42">
        <f>IF(ISNUMBER('_Data inputs (reported)'!I5),'_Data inputs (reported)'!I5,"")</f>
        <v>2018</v>
      </c>
      <c r="J5" s="1" t="str">
        <f>IF(ISTEXT('_Data inputs (reported)'!J5),'_Data inputs (reported)'!J5,"")</f>
        <v>Yes</v>
      </c>
      <c r="K5" s="105" t="str">
        <f>IF(ISTEXT('_Data inputs (reported)'!K5),'_Data inputs (reported)'!K5,"")</f>
        <v/>
      </c>
      <c r="L5" s="105" t="str">
        <f>IF(ISTEXT('_Data inputs (reported)'!L5),'_Data inputs (reported)'!L5,"")</f>
        <v>Performance Monitoring and Accountability 2020 (PMA2020) Project, International Centre for Reproductive Health Kenya (ICRHK), Baltimore, MD: PMA2020, Bill &amp; Melinda Gates Institute for Population and Reproductive Health, Johns Hopkins Bloomberg School of Public Health.</v>
      </c>
      <c r="M5" s="1" t="str">
        <f>IF(ISTEXT('_Data inputs (reported)'!M5),'_Data inputs (reported)'!M5,"")</f>
        <v>KEN_2018_PMA</v>
      </c>
      <c r="N5" s="105" t="str">
        <f>IF(ISTEXT('_Data inputs (reported)'!N5),'_Data inputs (reported)'!N5,"")</f>
        <v/>
      </c>
    </row>
    <row r="6" spans="1:14" ht="15.95"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Kenya</v>
      </c>
      <c r="B6" s="1" t="str">
        <f>IF(ISTEXT('_Data inputs (reported)'!B6),'_Data inputs (reported)'!B6,"")</f>
        <v>KEN</v>
      </c>
      <c r="C6" s="179">
        <f>IF(ISBLANK('_Data inputs (reported)'!C6),"",'_Data inputs (reported)'!C6)</f>
        <v>26</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Proportion of septic tanks with faecal sludge not yet emptied</v>
      </c>
      <c r="E6" s="1" t="str">
        <f>IF(ISTEXT('_Data inputs (reported)'!E6),'_Data inputs (reported)'!E6,"")</f>
        <v>SEP_ON_NOEMPT_PCT</v>
      </c>
      <c r="F6" s="8">
        <f>IF(ISNUMBER('_Data inputs (reported)'!F6),'_Data inputs (reported)'!F6,"")</f>
        <v>72.3</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Percentage</v>
      </c>
      <c r="H6" s="1" t="str">
        <f>IF(ISTEXT('_Data inputs (reported)'!H6),'_Data inputs (reported)'!H6,"")</f>
        <v>R</v>
      </c>
      <c r="I6" s="42">
        <f>IF(ISNUMBER('_Data inputs (reported)'!I6),'_Data inputs (reported)'!I6,"")</f>
        <v>2018</v>
      </c>
      <c r="J6" s="1" t="str">
        <f>IF(ISTEXT('_Data inputs (reported)'!J6),'_Data inputs (reported)'!J6,"")</f>
        <v>Yes</v>
      </c>
      <c r="K6" s="105" t="str">
        <f>IF(ISTEXT('_Data inputs (reported)'!K6),'_Data inputs (reported)'!K6,"")</f>
        <v/>
      </c>
      <c r="L6" s="105" t="str">
        <f>IF(ISTEXT('_Data inputs (reported)'!L6),'_Data inputs (reported)'!L6,"")</f>
        <v>Performance Monitoring and Accountability 2020 (PMA2020) Project, International Centre for Reproductive Health Kenya (ICRHK), Baltimore, MD: PMA2020, Bill &amp; Melinda Gates Institute for Population and Reproductive Health, Johns Hopkins Bloomberg School of Public Health.</v>
      </c>
      <c r="M6" s="1" t="str">
        <f>IF(ISTEXT('_Data inputs (reported)'!M6),'_Data inputs (reported)'!M6,"")</f>
        <v>KEN_2018_PMA</v>
      </c>
      <c r="N6" s="105" t="str">
        <f>IF(ISTEXT('_Data inputs (reported)'!N6),'_Data inputs (reported)'!N6,"")</f>
        <v/>
      </c>
    </row>
    <row r="7" spans="1:14" ht="15.95"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Kenya</v>
      </c>
      <c r="B7" s="1" t="str">
        <f>IF(ISTEXT('_Data inputs (reported)'!B7),'_Data inputs (reported)'!B7,"")</f>
        <v>KEN</v>
      </c>
      <c r="C7" s="179">
        <f>IF(ISBLANK('_Data inputs (reported)'!C7),"",'_Data inputs (reported)'!C7)</f>
        <v>19</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Proportion of sewer wastewater delivered to treatment plants</v>
      </c>
      <c r="E7" s="1" t="str">
        <f>IF(ISTEXT('_Data inputs (reported)'!E7),'_Data inputs (reported)'!E7,"")</f>
        <v>SEW_DEL_WWTP_PCT</v>
      </c>
      <c r="F7" s="8">
        <f>IF(ISNUMBER('_Data inputs (reported)'!F7),'_Data inputs (reported)'!F7,"")</f>
        <v>100</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Percentage</v>
      </c>
      <c r="H7" s="1" t="str">
        <f>IF(ISTEXT('_Data inputs (reported)'!H7),'_Data inputs (reported)'!H7,"")</f>
        <v>R</v>
      </c>
      <c r="I7" s="42">
        <f>IF(ISNUMBER('_Data inputs (reported)'!I7),'_Data inputs (reported)'!I7,"")</f>
        <v>2014</v>
      </c>
      <c r="J7" s="1" t="str">
        <f>IF(ISTEXT('_Data inputs (reported)'!J7),'_Data inputs (reported)'!J7,"")</f>
        <v>No</v>
      </c>
      <c r="K7" s="105" t="str">
        <f>IF(ISTEXT('_Data inputs (reported)'!K7),'_Data inputs (reported)'!K7,"")</f>
        <v>Not the most recent data point for this variable</v>
      </c>
      <c r="L7" s="105" t="str">
        <f>IF(ISTEXT('_Data inputs (reported)'!L7),'_Data inputs (reported)'!L7,"")</f>
        <v>UNSD, Country Files from the UNSD/UNEP data collection on Environment Statistics, 2014 (date accessed: September 2022)</v>
      </c>
      <c r="M7" s="1" t="str">
        <f>IF(ISTEXT('_Data inputs (reported)'!M7),'_Data inputs (reported)'!M7,"")</f>
        <v>KEN_2014_UNSD</v>
      </c>
      <c r="N7" s="105" t="str">
        <f>IF(ISTEXT('_Data inputs (reported)'!N7),'_Data inputs (reported)'!N7,"")</f>
        <v>Table W5, derived from the proportion of the population connected to wastewater treatment plants (line 2=3.4%) divided by the proportion of the population connected to wastewater collecting systems (sewers; line 1=3.4%)</v>
      </c>
    </row>
    <row r="8" spans="1:14" ht="15.95"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Kenya</v>
      </c>
      <c r="B8" s="1" t="str">
        <f>IF(ISTEXT('_Data inputs (reported)'!B8),'_Data inputs (reported)'!B8,"")</f>
        <v>KEN</v>
      </c>
      <c r="C8" s="179">
        <f>IF(ISBLANK('_Data inputs (reported)'!C8),"",'_Data inputs (reported)'!C8)</f>
        <v>19</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Proportion of sewer wastewater delivered to treatment plants</v>
      </c>
      <c r="E8" s="1" t="str">
        <f>IF(ISTEXT('_Data inputs (reported)'!E8),'_Data inputs (reported)'!E8,"")</f>
        <v>SEW_DEL_WWTP_PCT</v>
      </c>
      <c r="F8" s="8">
        <f>IF(ISNUMBER('_Data inputs (reported)'!F8),'_Data inputs (reported)'!F8,"")</f>
        <v>100</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Percentage</v>
      </c>
      <c r="H8" s="1" t="str">
        <f>IF(ISTEXT('_Data inputs (reported)'!H8),'_Data inputs (reported)'!H8,"")</f>
        <v>R</v>
      </c>
      <c r="I8" s="42">
        <f>IF(ISNUMBER('_Data inputs (reported)'!I8),'_Data inputs (reported)'!I8,"")</f>
        <v>2015</v>
      </c>
      <c r="J8" s="1" t="str">
        <f>IF(ISTEXT('_Data inputs (reported)'!J8),'_Data inputs (reported)'!J8,"")</f>
        <v>No</v>
      </c>
      <c r="K8" s="105" t="str">
        <f>IF(ISTEXT('_Data inputs (reported)'!K8),'_Data inputs (reported)'!K8,"")</f>
        <v>Not the most recent data point for this variable</v>
      </c>
      <c r="L8" s="105" t="str">
        <f>IF(ISTEXT('_Data inputs (reported)'!L8),'_Data inputs (reported)'!L8,"")</f>
        <v>UNSD, Country Files from the UNSD/UNEP data collection on Environment Statistics, 2015 (date accessed: September 2022)</v>
      </c>
      <c r="M8" s="1" t="str">
        <f>IF(ISTEXT('_Data inputs (reported)'!M8),'_Data inputs (reported)'!M8,"")</f>
        <v>KEN_2015_UNSD</v>
      </c>
      <c r="N8" s="105" t="str">
        <f>IF(ISTEXT('_Data inputs (reported)'!N8),'_Data inputs (reported)'!N8,"")</f>
        <v>Table W5, derived from the proportion of the population connected to wastewater treatment plants (line 2=7.5%) divided by the proportion of the population connected to wastewater collecting systems (sewers; line 1=7.5%)</v>
      </c>
    </row>
    <row r="9" spans="1:14" ht="15.95"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Kenya</v>
      </c>
      <c r="B9" s="1" t="str">
        <f>IF(ISTEXT('_Data inputs (reported)'!B9),'_Data inputs (reported)'!B9,"")</f>
        <v>KEN</v>
      </c>
      <c r="C9" s="179">
        <f>IF(ISBLANK('_Data inputs (reported)'!C9),"",'_Data inputs (reported)'!C9)</f>
        <v>19</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Proportion of sewer wastewater delivered to treatment plants</v>
      </c>
      <c r="E9" s="1" t="str">
        <f>IF(ISTEXT('_Data inputs (reported)'!E9),'_Data inputs (reported)'!E9,"")</f>
        <v>SEW_DEL_WWTP_PCT</v>
      </c>
      <c r="F9" s="8">
        <f>IF(ISNUMBER('_Data inputs (reported)'!F9),'_Data inputs (reported)'!F9,"")</f>
        <v>100</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Percentage</v>
      </c>
      <c r="H9" s="1" t="str">
        <f>IF(ISTEXT('_Data inputs (reported)'!H9),'_Data inputs (reported)'!H9,"")</f>
        <v>R</v>
      </c>
      <c r="I9" s="42">
        <f>IF(ISNUMBER('_Data inputs (reported)'!I9),'_Data inputs (reported)'!I9,"")</f>
        <v>2016</v>
      </c>
      <c r="J9" s="1" t="str">
        <f>IF(ISTEXT('_Data inputs (reported)'!J9),'_Data inputs (reported)'!J9,"")</f>
        <v>No</v>
      </c>
      <c r="K9" s="105" t="str">
        <f>IF(ISTEXT('_Data inputs (reported)'!K9),'_Data inputs (reported)'!K9,"")</f>
        <v>Not the most recent data point for this variable</v>
      </c>
      <c r="L9" s="105" t="str">
        <f>IF(ISTEXT('_Data inputs (reported)'!L9),'_Data inputs (reported)'!L9,"")</f>
        <v>UNSD, Country Files from the UNSD/UNEP data collection on Environment Statistics, 2016 (date accessed: September 2022)</v>
      </c>
      <c r="M9" s="1" t="str">
        <f>IF(ISTEXT('_Data inputs (reported)'!M9),'_Data inputs (reported)'!M9,"")</f>
        <v>KEN_2016_UNSD</v>
      </c>
      <c r="N9" s="105" t="str">
        <f>IF(ISTEXT('_Data inputs (reported)'!N9),'_Data inputs (reported)'!N9,"")</f>
        <v>Table W5, derived from the proportion of the population connected to wastewater treatment plants (line 2=10.6%) divided by the proportion of the population connected to wastewater collecting systems (sewers; line 1=10.6%)</v>
      </c>
    </row>
    <row r="10" spans="1:14" ht="15.95"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r="11" spans="1:14" ht="15.95"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r="12" spans="1:14" ht="15.95"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r="13" spans="1:14" ht="15.95"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r="14" spans="1:14" ht="15.95"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r="15" spans="1:14" ht="15.9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r="16" spans="1:14" ht="15.95"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r="17" spans="1:14" ht="15.95"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r="18" spans="1:14" ht="15.95"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r="19" spans="1:14" ht="15.95"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r="20" spans="1:14" ht="15.95"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r="21" spans="1:14" ht="15.95"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r="22" spans="1:14" ht="15.95"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r="23" spans="1:14" ht="15.95"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r="24" spans="1:14" ht="15.95"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r="25" spans="1:14" ht="15.9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r="26" spans="1:14" ht="15.95"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r="27" spans="1:14" ht="15.95"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r="28" spans="1:14" ht="15.95"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r="29" spans="1:14" ht="15.95"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r="30" spans="1:14" ht="15.95"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r="31" spans="1:14" ht="15.95"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r="32" spans="1:14" ht="15.95"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r="33" spans="1:14" ht="15.95"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r="34" spans="1:14" ht="15.95"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r="35" spans="1:14" ht="15.9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r="36" spans="1:14" ht="15.95"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r="37" spans="1:14" ht="15.95"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r="38" spans="1:14" ht="15.95"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r="39" spans="1:14" ht="15.95"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r="40" spans="1:14"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r="41" spans="1:14"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r="42" spans="1:14"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r="43" spans="1:14"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r="44" spans="1:1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r="45" spans="1:14"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r="46" spans="1:14"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r="47" spans="1:14"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r="48" spans="1:14"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r="49" spans="1:14"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r="50" spans="1:14"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r="51" spans="1:14"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r="52" spans="1:14"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r="53" spans="1:14"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r="54" spans="1:1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r="55" spans="1:14"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r="56" spans="1:14"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r="57" spans="1:14"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r="58" spans="1:14"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r="59" spans="1:14"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r="60" spans="1:14"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r="61" spans="1:14"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r="62" spans="1:14"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r="63" spans="1:14"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r="64" spans="1:1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r="65" spans="1:14"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r="66" spans="1:14"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r="67" spans="1:14"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r="68" spans="1:14"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r="69" spans="1:14"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r="70" spans="1:14"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r="71" spans="1:14"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r="72" spans="1:14"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r="73" spans="1:14"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r="74" spans="1:1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r="75" spans="1:14"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r="76" spans="1:14"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r="77" spans="1:14"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r="78" spans="1:14"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r="79" spans="1:14"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r="80" spans="1:14"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r="81" spans="1:14"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r="82" spans="1:14"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r="83" spans="1:14"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r="84" spans="1:1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r="85" spans="1:14"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r="86" spans="1:14"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r="87" spans="1:14"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r="88" spans="1:14"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r="89" spans="1:14"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r="90" spans="1:14"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r="91" spans="1:14"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r="92" spans="1:14"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r="93" spans="1:14"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r="94" spans="1:1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r="95" spans="1:14"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r="96" spans="1:14"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r="97" spans="1:14"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r="98" spans="1:14"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r="99" spans="1:14"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r="100" spans="1:14"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r="101" spans="1:14"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r="102" spans="1:14"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r="103" spans="1:14"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r="104" spans="1:1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r="105" spans="1:14"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r="106" spans="1:14"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r="107" spans="1:14"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r="108" spans="1:14"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r="109" spans="1:14"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r="110" spans="1:14"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r="111" spans="1:14"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r="112" spans="1:14"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r="113" spans="1:14"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r="114" spans="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r="115" spans="1:14"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r="116" spans="1:14"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r="117" spans="1:14"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r="118" spans="1:14"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r="119" spans="1:14"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r="120" spans="1:14"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r="121" spans="1:14"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r="122" spans="1:14"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r="123" spans="1:14"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r="124" spans="1:1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r="125" spans="1:14"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r="126" spans="1:14"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r="127" spans="1:14"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r="128" spans="1:14"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r="129" spans="1:14"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r="130" spans="1:14"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r="131" spans="1:14"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r="132" spans="1:14"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r="133" spans="1:14"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r="134" spans="1:1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r="135" spans="1:14"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r="136" spans="1:14"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r="137" spans="1:14"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r="138" spans="1:14"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r="139" spans="1:14"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r="140" spans="1:14"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r="141" spans="1:14"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r="142" spans="1:14"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r="143" spans="1:14"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r="144" spans="1:1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r="145" spans="1:14"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r="146" spans="1:14"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r="147" spans="1:14"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r="148" spans="1:14"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r="149" spans="1:14"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r="150" spans="1:14"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r="151" spans="1:14"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10.109375" customWidth="1"/>
    <col min="2" max="2" width="70.44140625" customWidth="1"/>
    <col min="3" max="3" width="15.5546875" customWidth="1"/>
    <col min="4" max="4" width="17.88671875" customWidth="1"/>
    <col min="5" max="5" width="17.88671875" bestFit="1" customWidth="1"/>
    <col min="6" max="6" width="6.6640625" customWidth="1"/>
    <col min="7" max="7" width="84.44140625" customWidth="1"/>
    <col min="8" max="8" width="2.33203125" customWidth="1"/>
    <col min="9" max="9" width="4.33203125" customWidth="1"/>
    <col min="10" max="10" width="10.33203125" customWidth="1"/>
    <col min="11" max="11" width="2.33203125" customWidth="1"/>
    <col min="12" max="12" width="4.33203125" customWidth="1"/>
    <col min="13" max="13" width="10.33203125" customWidth="1"/>
    <col min="14" max="14" width="2.33203125" customWidth="1"/>
    <col min="15" max="15" width="4.33203125" customWidth="1"/>
    <col min="16" max="16" width="12.33203125" customWidth="1"/>
    <col min="17" max="17" width="2.33203125" customWidth="1"/>
    <col min="18" max="18" width="4.33203125" customWidth="1"/>
    <col min="19" max="19" width="15.6640625" customWidth="1"/>
    <col min="20" max="20" width="2.44140625" bestFit="1" customWidth="1"/>
    <col min="21" max="21" width="3" bestFit="1" customWidth="1"/>
    <col min="22" max="22" width="11.88671875" customWidth="1"/>
    <col min="23" max="23" width="2.33203125" customWidth="1"/>
    <col min="24" max="24" width="4.33203125" customWidth="1"/>
  </cols>
  <sheetData>
    <row r="1" spans="1:24" ht="36" customHeight="1" x14ac:dyDescent="0.2">
      <c r="A1" s="33" t="str">
        <f>HLOOKUP(Introduction!$A$2,nametranslations,85,FALSE) &amp; " ("&amp;Introduction!C5 &amp;", " &amp;Introduction!C7 &amp; ")"</f>
        <v>Part A: Estimation of household wastewater generated (Kenya, 2022)</v>
      </c>
      <c r="B1" s="41"/>
      <c r="C1" s="41"/>
      <c r="D1" s="41"/>
      <c r="E1" s="41"/>
      <c r="F1" s="41"/>
      <c r="G1" s="41"/>
      <c r="H1" s="41"/>
      <c r="I1" s="41"/>
      <c r="J1" s="41"/>
      <c r="K1" s="41"/>
      <c r="L1" s="41"/>
      <c r="M1" s="41"/>
      <c r="N1" s="41"/>
      <c r="O1" s="41"/>
      <c r="P1" s="41"/>
      <c r="Q1" s="41"/>
      <c r="R1" s="41"/>
      <c r="S1" s="41"/>
      <c r="T1" s="41"/>
      <c r="U1" s="41"/>
      <c r="V1" s="41"/>
      <c r="W1" s="14"/>
    </row>
    <row r="2" spans="1:24" ht="56.1"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5.75" thickBot="1" x14ac:dyDescent="0.25">
      <c r="F3" s="15"/>
      <c r="G3" s="15"/>
      <c r="H3" s="15"/>
      <c r="I3" s="15"/>
      <c r="J3" s="15"/>
      <c r="K3" s="15"/>
      <c r="L3" s="15"/>
      <c r="M3" s="15"/>
      <c r="N3" s="15"/>
      <c r="O3" s="15"/>
      <c r="P3" s="15"/>
      <c r="Q3" s="15"/>
      <c r="R3" s="15"/>
      <c r="S3" s="16"/>
      <c r="T3" s="16"/>
    </row>
    <row r="4" spans="1:24" ht="16.5"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ht="15.75" x14ac:dyDescent="0.2">
      <c r="A5" s="66" t="str">
        <f>HLOOKUP(Introduction!$A$2,nametranslations,33,FALSE)</f>
        <v>Country/territory population</v>
      </c>
      <c r="B5" s="67"/>
      <c r="C5" s="100" t="s">
        <v>57</v>
      </c>
      <c r="D5" s="152" cm="1">
        <f t="array" ref="D5">v1_</f>
        <v>54027.49</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ht="15.75"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39.76</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60.24</v>
      </c>
      <c r="E8" s="72" t="str">
        <f>HLOOKUP(Introduction!$A$2,nametranslations,73,FALSE)</f>
        <v>Percentage</v>
      </c>
      <c r="F8" s="72" t="str">
        <f>'_Data inputs (all)'!H4</f>
        <v>E</v>
      </c>
      <c r="G8" s="73"/>
    </row>
    <row r="9" spans="1:24" ht="15.75"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1178.4692228759995</v>
      </c>
      <c r="E12" s="72" t="str">
        <f>HLOOKUP(Introduction!$A$2,nametranslations,74,FALSE)</f>
        <v>Million m3/year</v>
      </c>
      <c r="F12" s="72" t="str">
        <f>'_Data inputs (all)'!H7</f>
        <v>C</v>
      </c>
      <c r="G12" s="74" t="s">
        <v>91</v>
      </c>
    </row>
    <row r="13" spans="1:24" ht="15.75"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5.75" thickBot="1" x14ac:dyDescent="0.25">
      <c r="A15" s="118"/>
      <c r="B15" s="75" t="str">
        <f>HLOOKUP(Introduction!$A$2,nametranslations,160,FALSE)</f>
        <v>Volume of household wastewater generated</v>
      </c>
      <c r="C15" s="102" t="s">
        <v>64</v>
      </c>
      <c r="D15" s="156">
        <f>IF('Data inputs (all)'!H9="R",v8_,D12*D14/100)</f>
        <v>942.77537830079962</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6640625" defaultRowHeight="15" x14ac:dyDescent="0.2"/>
  <cols>
    <col min="1" max="1" width="26.33203125" customWidth="1"/>
    <col min="2" max="2" width="4" customWidth="1"/>
    <col min="3" max="3" width="12.5546875" customWidth="1"/>
    <col min="4" max="4" width="2.109375" bestFit="1" customWidth="1"/>
    <col min="5" max="5" width="3.5546875" customWidth="1"/>
    <col min="6" max="6" width="17.109375" customWidth="1"/>
    <col min="7" max="7" width="2.5546875" customWidth="1"/>
    <col min="8" max="8" width="9" customWidth="1"/>
    <col min="9" max="9" width="2.44140625" bestFit="1" customWidth="1"/>
    <col min="10" max="10" width="7.33203125" bestFit="1" customWidth="1"/>
    <col min="11" max="12" width="15.6640625" customWidth="1"/>
    <col min="13" max="13" width="21.33203125" customWidth="1"/>
    <col min="14" max="15" width="15.6640625" customWidth="1"/>
    <col min="16" max="16" width="10.6640625" customWidth="1"/>
  </cols>
  <sheetData>
    <row r="1" spans="1:24" ht="33" customHeight="1" x14ac:dyDescent="0.2">
      <c r="A1" s="33" t="str">
        <f>HLOOKUP(Introduction!$A$2,nametranslations,97,FALSE) &amp; " ("&amp;Introduction!C5 &amp;", " &amp;Introduction!C7 &amp; ")"</f>
        <v>Part B: Estimation of household wastewater generated by stream (sanitation facility type) (Kenya, 2022)</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6.25E-2</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118.3202031</v>
      </c>
      <c r="G5" s="28" t="str">
        <f>'_Data inputs (all)'!H15</f>
        <v>C</v>
      </c>
      <c r="H5" s="159">
        <f>F5/$F$10*100</f>
        <v>12.550200803212849</v>
      </c>
      <c r="I5" s="28" t="s">
        <v>5</v>
      </c>
      <c r="J5" s="29" t="s">
        <v>19</v>
      </c>
    </row>
    <row r="6" spans="1:24" x14ac:dyDescent="0.2">
      <c r="A6" s="19" t="str">
        <f>HLOOKUP(Introduction!$A$2,nametranslations,106,FALSE)</f>
        <v>Stream 2: Septic tanks</v>
      </c>
      <c r="B6" s="121">
        <v>10</v>
      </c>
      <c r="C6" s="123">
        <f>_xlfn.SINGLE(v10_)/100</f>
        <v>6.4699999999999994E-2</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122.48507424911998</v>
      </c>
      <c r="G6" s="28" t="str">
        <f>'_Data inputs (all)'!H16</f>
        <v>C</v>
      </c>
      <c r="H6" s="159">
        <f>F6/$F$10*100</f>
        <v>12.99196787148594</v>
      </c>
      <c r="I6" s="28" t="s">
        <v>5</v>
      </c>
      <c r="J6" s="29" t="s">
        <v>20</v>
      </c>
    </row>
    <row r="7" spans="1:24" x14ac:dyDescent="0.2">
      <c r="A7" s="17" t="str">
        <f>HLOOKUP(Introduction!$A$2,nametranslations,107,FALSE)</f>
        <v>Other improved facilities</v>
      </c>
      <c r="B7" s="121" t="s">
        <v>65</v>
      </c>
      <c r="C7" s="123">
        <f>_xlfn.SINGLE(v11_)/100</f>
        <v>0.48139999999999999</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578.47536096943998</v>
      </c>
      <c r="G7" s="28" t="str">
        <f>'_Data inputs (all)'!H17</f>
        <v>C</v>
      </c>
      <c r="H7" s="159">
        <f>F7/$F$10*100</f>
        <v>61.358768406961175</v>
      </c>
      <c r="I7" s="28" t="s">
        <v>5</v>
      </c>
      <c r="J7" s="29" t="s">
        <v>21</v>
      </c>
    </row>
    <row r="8" spans="1:24" x14ac:dyDescent="0.2">
      <c r="A8" s="17" t="str">
        <f>HLOOKUP(Introduction!$A$2,nametranslations,108,FALSE)</f>
        <v>Unimproved facilities</v>
      </c>
      <c r="B8" s="121" t="s">
        <v>66</v>
      </c>
      <c r="C8" s="123">
        <f>_xlfn.SINGLE(v12_)/100</f>
        <v>0.32689999999999997</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103.14366504903998</v>
      </c>
      <c r="G8" s="28" t="str">
        <f>'_Data inputs (all)'!H18</f>
        <v>C</v>
      </c>
      <c r="H8" s="159">
        <f>F8/$F$10*100</f>
        <v>10.940428380187415</v>
      </c>
      <c r="I8" s="28" t="s">
        <v>5</v>
      </c>
      <c r="J8" s="29" t="s">
        <v>22</v>
      </c>
    </row>
    <row r="9" spans="1:24" ht="15.75" thickBot="1" x14ac:dyDescent="0.25">
      <c r="A9" s="18" t="str">
        <f>HLOOKUP(Introduction!$A$2,nametranslations,109,FALSE)</f>
        <v>Open defecation</v>
      </c>
      <c r="B9" s="122" t="s">
        <v>67</v>
      </c>
      <c r="C9" s="124">
        <f>_xlfn.SINGLE(v13_)/100</f>
        <v>6.4500000000000002E-2</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20.3510749332</v>
      </c>
      <c r="G9" s="28" t="str">
        <f>'_Data inputs (all)'!H19</f>
        <v>C</v>
      </c>
      <c r="H9" s="159">
        <f>F9/$F$10*100</f>
        <v>2.1586345381526102</v>
      </c>
      <c r="I9" s="28" t="s">
        <v>5</v>
      </c>
      <c r="J9" s="30" t="s">
        <v>23</v>
      </c>
    </row>
    <row r="10" spans="1:24" ht="16.5" thickBot="1" x14ac:dyDescent="0.25">
      <c r="A10" s="9"/>
      <c r="C10" s="9"/>
      <c r="D10" s="10" t="str">
        <f>HLOOKUP(Introduction!$A$2,nametranslations,182,FALSE)</f>
        <v>Total:</v>
      </c>
      <c r="E10" s="126" t="s">
        <v>64</v>
      </c>
      <c r="F10" s="158">
        <f>SUM(F5:F9)</f>
        <v>942.77537830080007</v>
      </c>
      <c r="G10" s="31" t="str">
        <f>'_Data inputs (all)'!H9</f>
        <v>C</v>
      </c>
      <c r="H10" s="160">
        <f>SUM(H5:H9)</f>
        <v>99.999999999999986</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septic tank connections [15] than those with sewer connections [14].  Accordingly, data on septic tank emptying practices [23-26]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6640625" defaultRowHeight="15" x14ac:dyDescent="0.2"/>
  <cols>
    <col min="1" max="1" width="11.33203125" customWidth="1"/>
    <col min="2" max="2" width="61.44140625" customWidth="1"/>
    <col min="3" max="3" width="15.44140625" customWidth="1"/>
    <col min="4" max="5" width="16.5546875" customWidth="1"/>
    <col min="6" max="6" width="7.5546875" customWidth="1"/>
    <col min="7" max="7" width="75" customWidth="1"/>
  </cols>
  <sheetData>
    <row r="1" spans="1:7" ht="36" customHeight="1" x14ac:dyDescent="0.2">
      <c r="A1" s="27" t="str">
        <f>HLOOKUP(Introduction!$A$2,nametranslations,115,FALSE)  &amp; " ("&amp;Introduction!C5 &amp;", " &amp;Introduction!C7 &amp; ")"</f>
        <v>Part C: Household wastewater management chain (Kenya, 2022)</v>
      </c>
      <c r="B1" s="27"/>
      <c r="C1" s="27"/>
      <c r="D1" s="27"/>
      <c r="E1" s="27"/>
      <c r="F1" s="27"/>
      <c r="G1" s="27"/>
    </row>
    <row r="2" spans="1:7" ht="48.95"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1"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ht="15.75" x14ac:dyDescent="0.2">
      <c r="A4" s="95" t="str">
        <f>HLOOKUP(Introduction!$A$2,nametranslations,117,FALSE)</f>
        <v>Stream 1: Sewer wastewater flows</v>
      </c>
      <c r="B4" s="65"/>
      <c r="C4" s="79"/>
      <c r="D4" s="80"/>
      <c r="E4" s="80"/>
      <c r="F4" s="81"/>
      <c r="G4" s="82"/>
    </row>
    <row r="5" spans="1:7" x14ac:dyDescent="0.2">
      <c r="A5" s="111"/>
      <c r="B5" s="177" t="str">
        <f>HLOOKUP(Introduction!$A$2,nametranslations,118,FALSE)</f>
        <v>Volume of sewer wastewater generated</v>
      </c>
      <c r="C5" s="103" t="s">
        <v>27</v>
      </c>
      <c r="D5" s="161">
        <f>'B- Generated by facility type'!F5</f>
        <v>118.3202031</v>
      </c>
      <c r="E5" s="72" t="str">
        <f>HLOOKUP(Introduction!$A$2,nametranslations,74,FALSE)</f>
        <v>Million m3/year</v>
      </c>
      <c r="F5" s="86" t="str">
        <f>'Data inputs (all)'!H15</f>
        <v>C</v>
      </c>
      <c r="G5" s="87" t="s">
        <v>96</v>
      </c>
    </row>
    <row r="6" spans="1:7" x14ac:dyDescent="0.2">
      <c r="A6" s="112"/>
      <c r="B6" s="177" t="str">
        <f>HLOOKUP(Introduction!$A$2,nametranslations,119,FALSE)</f>
        <v>Sewer wastewater as a proportion of total household wastewater generated</v>
      </c>
      <c r="C6" s="88" t="s">
        <v>93</v>
      </c>
      <c r="D6" s="162">
        <f>'B- Generated by facility type'!F5/'B- Generated by facility type'!F10*100</f>
        <v>12.550200803212849</v>
      </c>
      <c r="E6" s="72" t="str">
        <f>HLOOKUP(Introduction!$A$2,nametranslations,73,FALSE)</f>
        <v>Percentage</v>
      </c>
      <c r="F6" s="86" t="s">
        <v>5</v>
      </c>
      <c r="G6" s="90" t="s">
        <v>94</v>
      </c>
    </row>
    <row r="7" spans="1:7" x14ac:dyDescent="0.2">
      <c r="A7" s="112"/>
      <c r="B7" s="177" t="str">
        <f>HLOOKUP(Introduction!$A$2,nametranslations,120,FALSE)</f>
        <v>Proportion delivered to treatment plants</v>
      </c>
      <c r="C7" s="103" t="s">
        <v>71</v>
      </c>
      <c r="D7" s="163">
        <f>_xlfn.SINGLE(v19_)</f>
        <v>100</v>
      </c>
      <c r="E7" s="72" t="str">
        <f>HLOOKUP(Introduction!$A$2,nametranslations,73,FALSE)</f>
        <v>Percentage</v>
      </c>
      <c r="F7" s="91" t="str">
        <f>'_Data inputs (all)'!H20</f>
        <v>R</v>
      </c>
      <c r="G7" s="92"/>
    </row>
    <row r="8" spans="1:7" ht="30" x14ac:dyDescent="0.2">
      <c r="A8" s="112"/>
      <c r="B8" s="177" t="str">
        <f>HLOOKUP(Introduction!$A$2,nametranslations,121,FALSE)</f>
        <v>Proportion of delivered that is safely treated (by compliance) at treatment plants</v>
      </c>
      <c r="C8" s="103" t="s">
        <v>72</v>
      </c>
      <c r="D8" s="163">
        <f>_xlfn.SINGLE(IF(ISBLANK(_xlfn.SINGLE(v20_)),"",v20_))</f>
        <v>50</v>
      </c>
      <c r="E8" s="72" t="str">
        <f>HLOOKUP(Introduction!$A$2,nametranslations,73,FALSE)</f>
        <v>Percentage</v>
      </c>
      <c r="F8" s="91" t="str">
        <f>'_Data inputs (all)'!H21</f>
        <v>A</v>
      </c>
      <c r="G8" s="92"/>
    </row>
    <row r="9" spans="1:7" ht="30"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t="str">
        <f>'_Data inputs (all)'!H22</f>
        <v/>
      </c>
      <c r="G9" s="92"/>
    </row>
    <row r="10" spans="1:7" ht="15.75" x14ac:dyDescent="0.2">
      <c r="A10" s="94" t="str">
        <f>HLOOKUP(Introduction!$A$2,nametranslations,123,FALSE)</f>
        <v>Stream 2: Septic tank wastewater flows</v>
      </c>
      <c r="B10" s="83"/>
      <c r="C10" s="84"/>
      <c r="D10" s="85"/>
      <c r="E10" s="85"/>
      <c r="F10" s="86"/>
      <c r="G10" s="87"/>
    </row>
    <row r="11" spans="1:7" x14ac:dyDescent="0.2">
      <c r="A11" s="111"/>
      <c r="B11" s="177" t="str">
        <f>HLOOKUP(Introduction!$A$2,nametranslations,124,FALSE)</f>
        <v>Volume of septic tank wastewater generated</v>
      </c>
      <c r="C11" s="103" t="s">
        <v>28</v>
      </c>
      <c r="D11" s="161">
        <f>'B- Generated by facility type'!F6</f>
        <v>122.48507424911998</v>
      </c>
      <c r="E11" s="72" t="str">
        <f>HLOOKUP(Introduction!$A$2,nametranslations,74,FALSE)</f>
        <v>Million m3/year</v>
      </c>
      <c r="F11" s="86" t="str">
        <f>'_Data inputs (all)'!H16</f>
        <v>C</v>
      </c>
      <c r="G11" s="87" t="s">
        <v>96</v>
      </c>
    </row>
    <row r="12" spans="1:7" ht="30" x14ac:dyDescent="0.2">
      <c r="A12" s="112"/>
      <c r="B12" s="177" t="str">
        <f>HLOOKUP(Introduction!$A$2,nametranslations,125,FALSE)</f>
        <v>Septic tank wastewater as a proportion of total household wastewater generated</v>
      </c>
      <c r="C12" s="88" t="s">
        <v>93</v>
      </c>
      <c r="D12" s="162">
        <f>'B- Generated by facility type'!F6/'B- Generated by facility type'!F10*100</f>
        <v>12.99196787148594</v>
      </c>
      <c r="E12" s="72" t="str">
        <f>HLOOKUP(Introduction!$A$2,nametranslations,73,FALSE)</f>
        <v>Percentage</v>
      </c>
      <c r="F12" s="86" t="s">
        <v>5</v>
      </c>
      <c r="G12" s="90" t="s">
        <v>95</v>
      </c>
    </row>
    <row r="13" spans="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ht="15.75" x14ac:dyDescent="0.2">
      <c r="A14" s="94" t="str">
        <f>HLOOKUP(Introduction!$A$2,nametranslations,127,FALSE)</f>
        <v>Stream 2a: Septic tank wastewater treatment and off-site disposal</v>
      </c>
      <c r="B14" s="83"/>
      <c r="C14" s="84"/>
      <c r="D14" s="164"/>
      <c r="E14" s="85"/>
      <c r="F14" s="86"/>
      <c r="G14" s="87"/>
    </row>
    <row r="15" spans="1:7" x14ac:dyDescent="0.2">
      <c r="A15" s="111"/>
      <c r="B15" s="177" t="str">
        <f>HLOOKUP(Introduction!$A$2,nametranslations,128,FALSE)</f>
        <v>Proportion of tanks with faecal sludge emptied and discharged locally</v>
      </c>
      <c r="C15" s="103" t="s">
        <v>31</v>
      </c>
      <c r="D15" s="163">
        <f>_xlfn.SINGLE(v24_)</f>
        <v>0.2</v>
      </c>
      <c r="E15" s="72" t="str">
        <f>HLOOKUP(Introduction!$A$2,nametranslations,73,FALSE)</f>
        <v>Percentage</v>
      </c>
      <c r="F15" s="91" t="str">
        <f>'_Data inputs (all)'!H25</f>
        <v>R</v>
      </c>
      <c r="G15" s="92"/>
    </row>
    <row r="16" spans="1:7" x14ac:dyDescent="0.2">
      <c r="A16" s="112"/>
      <c r="B16" s="177" t="str">
        <f>HLOOKUP(Introduction!$A$2,nametranslations,129,FALSE)</f>
        <v>Proportion of tanks with faecal sludge emptied and removed off-site</v>
      </c>
      <c r="C16" s="103" t="s">
        <v>32</v>
      </c>
      <c r="D16" s="163">
        <f>_xlfn.SINGLE(v25_)</f>
        <v>21.5</v>
      </c>
      <c r="E16" s="72" t="str">
        <f>HLOOKUP(Introduction!$A$2,nametranslations,73,FALSE)</f>
        <v>Percentage</v>
      </c>
      <c r="F16" s="91" t="str">
        <f>'_Data inputs (all)'!H26</f>
        <v>R</v>
      </c>
      <c r="G16" s="92"/>
    </row>
    <row r="17" spans="1:7" ht="30"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0"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t="str">
        <f>'_Data inputs (all)'!H29</f>
        <v>A</v>
      </c>
      <c r="G18" s="92"/>
    </row>
    <row r="19" spans="1:7" ht="15.75" x14ac:dyDescent="0.2">
      <c r="A19" s="94" t="str">
        <f>HLOOKUP(Introduction!$A$2,nametranslations,132,FALSE)</f>
        <v>Stream 2b: Septic tank wastewater treatment and on-site disposal</v>
      </c>
      <c r="B19" s="83"/>
      <c r="C19" s="84"/>
      <c r="D19" s="164"/>
      <c r="E19" s="85"/>
      <c r="F19" s="86"/>
      <c r="G19" s="87"/>
    </row>
    <row r="20" spans="1:7" x14ac:dyDescent="0.2">
      <c r="A20" s="111"/>
      <c r="B20" s="177" t="str">
        <f>HLOOKUP(Introduction!$A$2,nametranslations,133,FALSE)</f>
        <v>Proportion of tanks with faecal sludge emptied and buried on-site</v>
      </c>
      <c r="C20" s="103" t="s">
        <v>30</v>
      </c>
      <c r="D20" s="163">
        <f>_xlfn.SINGLE(v23_)</f>
        <v>6</v>
      </c>
      <c r="E20" s="89" t="str">
        <f>HLOOKUP(Introduction!$A$2,nametranslations,73,FALSE)</f>
        <v>Percentage</v>
      </c>
      <c r="F20" s="91" t="str">
        <f>'_Data inputs (all)'!H24</f>
        <v>R</v>
      </c>
      <c r="G20" s="92"/>
    </row>
    <row r="21" spans="1:7" ht="15.75" thickBot="1" x14ac:dyDescent="0.25">
      <c r="A21" s="114"/>
      <c r="B21" s="178" t="str">
        <f>HLOOKUP(Introduction!$A$2,nametranslations,134,FALSE)</f>
        <v>Proportion of tanks with faecal sludge not yet emptied</v>
      </c>
      <c r="C21" s="104" t="s">
        <v>33</v>
      </c>
      <c r="D21" s="165">
        <f>_xlfn.SINGLE(v26_)</f>
        <v>72.3</v>
      </c>
      <c r="E21" s="96" t="str">
        <f>HLOOKUP(Introduction!$A$2,nametranslations,73,FALSE)</f>
        <v>Percentage</v>
      </c>
      <c r="F21" s="97" t="str">
        <f>'_Data inputs (all)'!H27</f>
        <v>R</v>
      </c>
      <c r="G21" s="98"/>
    </row>
    <row r="22" spans="1:7" x14ac:dyDescent="0.2">
      <c r="F22" s="175" t="str">
        <f>IF(F8="R","R",IF(F9="R","R",""))</f>
        <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1"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septic tank wastewater generated [15] is greater than the volume of sewer wastewater generated [14], and data on septic tank management [23-26]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37.88671875" customWidth="1"/>
    <col min="2" max="2" width="21" customWidth="1"/>
    <col min="3" max="3" width="2.6640625" customWidth="1"/>
    <col min="4" max="4" width="23.88671875" bestFit="1" customWidth="1"/>
    <col min="5" max="5" width="17" customWidth="1"/>
    <col min="6" max="6" width="2.5546875" customWidth="1"/>
    <col min="7" max="7" width="17.6640625" customWidth="1"/>
    <col min="8" max="8" width="13.6640625" customWidth="1"/>
    <col min="9" max="9" width="2.5546875" customWidth="1"/>
    <col min="10" max="10" width="17.6640625" customWidth="1"/>
    <col min="11" max="13" width="15.6640625" customWidth="1"/>
    <col min="14" max="14" width="10.6640625" customWidth="1"/>
  </cols>
  <sheetData>
    <row r="1" spans="1:27" ht="36" customHeight="1" x14ac:dyDescent="0.2">
      <c r="A1" s="33" t="str">
        <f>HLOOKUP(Introduction!$A$2,nametranslations,141,FALSE) &amp; " ("&amp;Introduction!C5 &amp;", " &amp;Introduction!C7 &amp; ")"</f>
        <v>Part D: Estimation of household wastewater delivered to treatment facilities (Kenya, 2022)</v>
      </c>
      <c r="B1" s="33"/>
      <c r="C1" s="33"/>
      <c r="D1" s="33"/>
      <c r="E1" s="33"/>
      <c r="F1" s="33"/>
      <c r="G1" s="33"/>
      <c r="H1" s="33"/>
      <c r="I1" s="33"/>
      <c r="J1" s="33"/>
    </row>
    <row r="2" spans="1:27" ht="54.9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118.3202031</v>
      </c>
      <c r="C4" s="34" t="str">
        <f>'_Data inputs (all)'!H30</f>
        <v>C</v>
      </c>
      <c r="D4" s="51" t="s">
        <v>49</v>
      </c>
      <c r="E4" s="35">
        <f>B4/'A- Generated'!D15</f>
        <v>0.12550200803212858</v>
      </c>
      <c r="F4" s="43" t="s">
        <v>5</v>
      </c>
      <c r="G4" s="38" t="s">
        <v>37</v>
      </c>
      <c r="H4" s="35">
        <f>IF(ISNUMBER(B4/'B- Generated by facility type'!F5),B4/'B- Generated by facility type'!F5,"N/A")</f>
        <v>1</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13.167145481780397</v>
      </c>
      <c r="C5" s="28" t="str">
        <f>'_Data inputs (all)'!H31</f>
        <v>C</v>
      </c>
      <c r="D5" s="50" t="s">
        <v>50</v>
      </c>
      <c r="E5" s="36">
        <f>B5/'A- Generated'!D15</f>
        <v>1.3966365461847392E-2</v>
      </c>
      <c r="F5" s="44" t="s">
        <v>5</v>
      </c>
      <c r="G5" s="39" t="s">
        <v>38</v>
      </c>
      <c r="H5" s="36">
        <f>IF(ISNUMBER(B5/'B- Generated by facility type'!F6),B5/'B- Generated by facility type'!F6,"N/A")</f>
        <v>0.1075</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47.952906568530466</v>
      </c>
      <c r="C6" s="28" t="str">
        <f>'_Data inputs (all)'!H32</f>
        <v>C</v>
      </c>
      <c r="D6" s="50" t="s">
        <v>51</v>
      </c>
      <c r="E6" s="36">
        <f>B6/'A- Generated'!D15</f>
        <v>5.0863554216867474E-2</v>
      </c>
      <c r="F6" s="44" t="s">
        <v>5</v>
      </c>
      <c r="G6" s="40" t="s">
        <v>39</v>
      </c>
      <c r="H6" s="36">
        <f>IF(ISNUMBER(B6/'B- Generated by facility type'!F6),B6/'B- Generated by facility type'!F6,"N/A")</f>
        <v>0.39149999999999996</v>
      </c>
      <c r="I6" s="44" t="s">
        <v>5</v>
      </c>
      <c r="J6" s="40" t="s">
        <v>42</v>
      </c>
    </row>
    <row r="7" spans="1:27" ht="39.950000000000003" customHeight="1" thickBot="1" x14ac:dyDescent="0.25">
      <c r="A7" s="49" t="str">
        <f>HLOOKUP(Introduction!$A$2,nametranslations,148,FALSE)</f>
        <v>Total delivered to treatment</v>
      </c>
      <c r="B7" s="168">
        <f>SUM(B4:B6)</f>
        <v>179.44025515031086</v>
      </c>
      <c r="C7" s="129" t="str">
        <f>'_Data inputs (all)'!H33</f>
        <v>C</v>
      </c>
      <c r="D7" s="130" t="s">
        <v>52</v>
      </c>
      <c r="E7" s="131">
        <f>B7/'A- Generated'!D15</f>
        <v>0.19033192771084342</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53" customWidth="1"/>
    <col min="2" max="2" width="18.33203125" customWidth="1"/>
    <col min="3" max="3" width="2.6640625" customWidth="1"/>
    <col min="4" max="4" width="14.5546875" customWidth="1"/>
    <col min="5" max="5" width="19.44140625" customWidth="1"/>
    <col min="6" max="6" width="2.5546875" customWidth="1"/>
    <col min="7" max="7" width="17.6640625" customWidth="1"/>
    <col min="8" max="8" width="17" customWidth="1"/>
    <col min="9" max="9" width="2.5546875" customWidth="1"/>
    <col min="10" max="10" width="20.44140625" customWidth="1"/>
    <col min="11" max="13" width="15.6640625" customWidth="1"/>
    <col min="14" max="14" width="10.6640625" customWidth="1"/>
  </cols>
  <sheetData>
    <row r="1" spans="1:27" ht="36" customHeight="1" x14ac:dyDescent="0.2">
      <c r="A1" s="33" t="str">
        <f>HLOOKUP(Introduction!$A$2,nametranslations,149,FALSE) &amp; " ("&amp;Introduction!C5 &amp;", " &amp;Introduction!C7 &amp; ")"</f>
        <v>Part E: Estimation of household wastewater safely treated (Kenya, 2022)</v>
      </c>
      <c r="B1" s="33"/>
      <c r="C1" s="33"/>
      <c r="D1" s="33"/>
      <c r="E1" s="33"/>
      <c r="F1" s="33"/>
      <c r="G1" s="33"/>
      <c r="H1" s="33"/>
      <c r="I1" s="33"/>
      <c r="J1" s="33"/>
    </row>
    <row r="2" spans="1:27" ht="69.95"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59.16010155</v>
      </c>
      <c r="C4" s="23" t="str">
        <f>'_Data inputs (all)'!H34</f>
        <v>C</v>
      </c>
      <c r="D4" s="58" t="s">
        <v>159</v>
      </c>
      <c r="E4" s="24">
        <f>B4/'A- Generated'!D15</f>
        <v>6.2751004016064288E-2</v>
      </c>
      <c r="F4" s="23" t="str">
        <f>'_Data inputs (all)'!H38</f>
        <v>C</v>
      </c>
      <c r="G4" s="13" t="s">
        <v>45</v>
      </c>
      <c r="H4" s="45">
        <f>IF(ISNUMBER(B4/'B- Generated by facility type'!F5),B4/'B- Generated by facility type'!F5,"N/A")</f>
        <v>0.5</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0</v>
      </c>
      <c r="C5" s="52" t="str">
        <f>'_Data inputs (all)'!H35</f>
        <v>C</v>
      </c>
      <c r="D5" s="59" t="s">
        <v>53</v>
      </c>
      <c r="E5" s="25">
        <f>B5/'A- Generated'!D15</f>
        <v>0</v>
      </c>
      <c r="F5" s="52" t="str">
        <f>'_Data inputs (all)'!H39</f>
        <v>C</v>
      </c>
      <c r="G5" s="60" t="s">
        <v>46</v>
      </c>
      <c r="H5" s="46">
        <f>IF(ISNUMBER(B5/'B- Generated by facility type'!F6), B5/'B- Generated by facility type'!F6, "N/A")</f>
        <v>0</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47.952906568530466</v>
      </c>
      <c r="C6" s="52" t="str">
        <f>'_Data inputs (all)'!H36</f>
        <v>C</v>
      </c>
      <c r="D6" s="59" t="s">
        <v>54</v>
      </c>
      <c r="E6" s="25">
        <f>B6/'A- Generated'!D15</f>
        <v>5.0863554216867474E-2</v>
      </c>
      <c r="F6" s="52" t="str">
        <f>'_Data inputs (all)'!H40</f>
        <v>C</v>
      </c>
      <c r="G6" s="60" t="s">
        <v>47</v>
      </c>
      <c r="H6" s="46">
        <f>IF(ISNUMBER(B6/'B- Generated by facility type'!F6),B6/'B- Generated by facility type'!F6,"N/A")</f>
        <v>0.39149999999999996</v>
      </c>
      <c r="I6" s="53" t="s">
        <v>5</v>
      </c>
      <c r="J6" s="40" t="s">
        <v>36</v>
      </c>
    </row>
    <row r="7" spans="1:27" ht="123" customHeight="1" x14ac:dyDescent="0.2">
      <c r="A7" s="61" t="str">
        <f>HLOOKUP(Introduction!$A$2,nametranslations,154,FALSE)</f>
        <v>Total safely treated</v>
      </c>
      <c r="B7" s="57">
        <f>SUM(B4:B6)</f>
        <v>107.11300811853047</v>
      </c>
      <c r="C7" s="54" t="str">
        <f>'_Data inputs (all)'!H37</f>
        <v>C</v>
      </c>
      <c r="D7" s="59" t="s">
        <v>56</v>
      </c>
      <c r="E7" s="63" t="str">
        <f>IF(LEFT(B8,2)="No",HLOOKUP(Introduction!$A$2,nametranslations,155,FALSE),HLOOKUP(Introduction!$A$2,nametranslations,156,FALSE) &amp; " "&amp; TEXT(SUM(E4:E6),"0.0%"))</f>
        <v>COUNTRY ESTIMATE (SDG 6.3.1):  1.1%</v>
      </c>
      <c r="F7" s="54" t="str">
        <f>'_Data inputs (all)'!H41</f>
        <v>C</v>
      </c>
      <c r="G7" s="60" t="s">
        <v>48</v>
      </c>
      <c r="H7" s="46" t="s">
        <v>8</v>
      </c>
      <c r="I7" s="53"/>
      <c r="J7" s="56" t="s">
        <v>8</v>
      </c>
    </row>
    <row r="8" spans="1:27" ht="60.95" customHeight="1" thickBot="1" x14ac:dyDescent="0.25">
      <c r="A8" s="62" t="str">
        <f>HLOOKUP(Introduction!$A$2,nametranslations,135,FALSE)</f>
        <v>Are data sufficient to compute a country estimate?</v>
      </c>
      <c r="B8" s="205" t="str">
        <f>'C- WW management chain'!A25</f>
        <v>Yes, since the volume of septic tank wastewater generated [15] is greater than the volume of sewer wastewater generated [14], and data on septic tank management [23-26]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Anne-Marie Cavillon</cp:lastModifiedBy>
  <dcterms:created xsi:type="dcterms:W3CDTF">2018-09-12T10:20:28Z</dcterms:created>
  <dcterms:modified xsi:type="dcterms:W3CDTF">2023-11-09T10:32:15Z</dcterms:modified>
</cp:coreProperties>
</file>