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0D845254-C34A-4041-A66A-2B9BB00FA0D8}"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F16" i="16" s="1"/>
  <c r="E15" i="16"/>
  <c r="E14" i="16"/>
  <c r="E13" i="16"/>
  <c r="E12" i="16"/>
  <c r="F12" i="16" s="1"/>
  <c r="E11" i="16"/>
  <c r="E10" i="16"/>
  <c r="E9" i="16"/>
  <c r="F9" i="16" s="1"/>
  <c r="E8" i="16"/>
  <c r="F8" i="16" s="1"/>
  <c r="E7" i="16"/>
  <c r="F7" i="16" s="1"/>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G15"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D12"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F7" i="21" l="1"/>
  <c r="C2" i="16" s="1"/>
  <c r="D2" i="16"/>
  <c r="G2" i="16" s="1"/>
  <c r="F2" i="16"/>
  <c r="F9" i="9"/>
  <c r="F7" i="9"/>
  <c r="D15" i="14"/>
  <c r="F6" i="9"/>
  <c r="A1" i="9"/>
  <c r="F5" i="9"/>
  <c r="A1" i="15"/>
  <c r="F8" i="9"/>
  <c r="A1" i="18"/>
  <c r="A1" i="14"/>
  <c r="B6" i="17" l="1"/>
  <c r="D6" i="16"/>
  <c r="B5" i="17"/>
  <c r="D11" i="15"/>
  <c r="F16" i="21"/>
  <c r="C6" i="16" s="1"/>
  <c r="D3" i="16"/>
  <c r="F9" i="21"/>
  <c r="D8" i="16"/>
  <c r="G8" i="16" s="1"/>
  <c r="F18" i="21"/>
  <c r="C8" i="16" s="1"/>
  <c r="F17" i="21"/>
  <c r="C7" i="16" s="1"/>
  <c r="D7" i="16"/>
  <c r="G7" i="16" s="1"/>
  <c r="H7" i="9"/>
  <c r="D9" i="16"/>
  <c r="G9" i="16" s="1"/>
  <c r="F19" i="21"/>
  <c r="C9" i="16" s="1"/>
  <c r="F10" i="9"/>
  <c r="D4" i="16" s="1"/>
  <c r="B4" i="17"/>
  <c r="D5" i="15"/>
  <c r="H5" i="9"/>
  <c r="F15" i="21"/>
  <c r="C5" i="16" s="1"/>
  <c r="A13" i="9"/>
  <c r="D5" i="16"/>
  <c r="D6" i="15"/>
  <c r="F3" i="16" l="1"/>
  <c r="D11" i="16"/>
  <c r="H5" i="17"/>
  <c r="E5" i="17"/>
  <c r="F31" i="21"/>
  <c r="C11" i="16" s="1"/>
  <c r="B5" i="18"/>
  <c r="H10" i="9"/>
  <c r="H6" i="9"/>
  <c r="A25" i="15"/>
  <c r="H4" i="17"/>
  <c r="E4" i="17"/>
  <c r="F30" i="21"/>
  <c r="C10" i="16" s="1"/>
  <c r="B4" i="18"/>
  <c r="B7" i="17"/>
  <c r="D10" i="16"/>
  <c r="H8" i="9"/>
  <c r="D12" i="15"/>
  <c r="G6" i="16"/>
  <c r="F6" i="16"/>
  <c r="G5" i="16"/>
  <c r="F5" i="16"/>
  <c r="H9" i="9"/>
  <c r="C3" i="16"/>
  <c r="G3" i="16" s="1"/>
  <c r="C4" i="16"/>
  <c r="G4" i="16" s="1"/>
  <c r="B6" i="18"/>
  <c r="D12" i="16"/>
  <c r="G12" i="16" s="1"/>
  <c r="H6" i="17"/>
  <c r="E6" i="17"/>
  <c r="F32" i="21"/>
  <c r="C12" i="16" s="1"/>
  <c r="G10" i="16" l="1"/>
  <c r="F10" i="16"/>
  <c r="G11" i="16"/>
  <c r="F11" i="16"/>
  <c r="E7" i="17"/>
  <c r="F33" i="21"/>
  <c r="C13" i="16" s="1"/>
  <c r="D13" i="16"/>
  <c r="H5" i="18"/>
  <c r="E5" i="18"/>
  <c r="D15" i="16"/>
  <c r="F35" i="21"/>
  <c r="H4" i="18"/>
  <c r="D14" i="16"/>
  <c r="B7" i="18"/>
  <c r="E4" i="18"/>
  <c r="F34" i="21"/>
  <c r="D16" i="16"/>
  <c r="G16" i="16" s="1"/>
  <c r="F36" i="21"/>
  <c r="H6" i="18"/>
  <c r="E6" i="18"/>
  <c r="B8" i="18"/>
  <c r="E7" i="18" s="1"/>
  <c r="F14" i="16" l="1"/>
  <c r="F38" i="21"/>
  <c r="C14" i="16"/>
  <c r="G14" i="16" s="1"/>
  <c r="D17" i="16"/>
  <c r="F37" i="21"/>
  <c r="C17" i="16" s="1"/>
  <c r="F39" i="21"/>
  <c r="C15" i="16"/>
  <c r="G15" i="16" s="1"/>
  <c r="C16" i="16"/>
  <c r="F40" i="21"/>
  <c r="F15" i="16"/>
  <c r="G13" i="16"/>
  <c r="F13" i="16"/>
  <c r="G17" i="16" l="1"/>
  <c r="F17" i="16"/>
  <c r="F41" i="21"/>
  <c r="C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<sst xmlns="http://schemas.openxmlformats.org/spreadsheetml/2006/main" count="4607" uniqueCount="2328">
  <si>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</si>
  <si>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</si>
  <si>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</si>
  <si>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</si>
  <si>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</si>
  <si>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</si>
  <si>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</si>
  <si>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</si>
  <si>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</si>
  <si>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</si>
  <si>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</si>
  <si>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</si>
  <si>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</si>
  <si>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</si>
  <si>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</si>
  <si>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</si>
  <si>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</si>
  <si>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</si>
  <si>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</si>
  <si>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</si>
  <si>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</si>
  <si>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</si>
  <si>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</si>
  <si>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</si>
  <si>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</si>
  <si>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</si>
  <si>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</si>
  <si>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</si>
  <si>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</si>
  <si>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</si>
  <si>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</si>
  <si>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</si>
  <si>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</si>
  <si>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</si>
  <si>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</si>
  <si>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</si>
  <si>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</si>
  <si>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</si>
  <si>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</si>
  <si>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</si>
  <si>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</si>
  <si>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</si>
  <si>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</si>
  <si>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</si>
  <si>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</si>
  <si>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</si>
  <si>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</si>
  <si>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</si>
  <si>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</si>
  <si>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</si>
  <si>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</si>
  <si>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</si>
  <si>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</si>
  <si>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</si>
  <si>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</si>
  <si>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</si>
  <si>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</si>
  <si>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</si>
  <si>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</si>
  <si>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</si>
  <si>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</si>
  <si>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</si>
  <si>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</si>
  <si>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</si>
  <si>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</si>
  <si>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</si>
  <si>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</si>
  <si>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</si>
  <si>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</si>
  <si>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</si>
  <si>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</si>
  <si>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</si>
  <si>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</si>
  <si>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</si>
  <si>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</si>
  <si>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</si>
  <si>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</si>
  <si>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</si>
  <si>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</si>
  <si>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</si>
  <si>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</si>
  <si>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</si>
  <si>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</si>
  <si>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</si>
  <si>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</si>
  <si>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</si>
  <si>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</si>
  <si>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</si>
  <si>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</si>
  <si>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</si>
  <si>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</si>
  <si>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</si>
  <si>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</si>
  <si>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</si>
  <si>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</si>
  <si>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</si>
  <si>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</si>
  <si>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</si>
  <si>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</si>
  <si>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</si>
  <si>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</si>
  <si>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</si>
  <si>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</si>
  <si>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</si>
  <si>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</si>
  <si>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</si>
  <si>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</si>
  <si>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</si>
  <si>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</si>
  <si>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</si>
  <si>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</si>
  <si>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</si>
  <si>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</si>
  <si>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</si>
  <si>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</si>
  <si>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</si>
  <si>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</si>
  <si>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</si>
  <si>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</si>
  <si>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</si>
  <si>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</si>
  <si>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</si>
  <si>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</si>
  <si>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</si>
  <si>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</si>
  <si>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</si>
  <si>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</si>
  <si>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</si>
  <si>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</si>
  <si>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</si>
  <si>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</si>
  <si>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</si>
  <si>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</si>
  <si>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</si>
  <si>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</si>
  <si>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</si>
  <si>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</si>
  <si>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</si>
  <si>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</si>
  <si>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</si>
  <si>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</si>
  <si>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</si>
  <si>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</si>
  <si>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</si>
  <si>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</si>
  <si>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</si>
  <si>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</si>
  <si>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</si>
  <si>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</si>
  <si>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</si>
  <si>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</si>
  <si>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</si>
  <si>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</si>
  <si>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</si>
  <si>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</si>
  <si>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</si>
  <si>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</si>
  <si>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</si>
  <si>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</si>
  <si>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</si>
  <si>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</si>
  <si>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</si>
  <si>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</si>
  <si>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</si>
  <si>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</si>
  <si>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</si>
  <si>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</si>
  <si>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</si>
  <si>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</si>
  <si>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</si>
  <si>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</si>
  <si>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</si>
  <si>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</si>
  <si>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</si>
  <si>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</si>
  <si>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</si>
  <si>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</si>
  <si>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</si>
  <si>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</si>
  <si>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</si>
  <si>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</si>
  <si>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</si>
  <si>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</si>
  <si>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</si>
  <si>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</si>
  <si>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</si>
  <si>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</si>
  <si>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</si>
  <si>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</si>
  <si>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</si>
  <si>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</si>
  <si>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</si>
  <si>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</si>
  <si>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</si>
  <si>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</si>
  <si>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</si>
  <si>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</si>
  <si>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</si>
  <si>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</si>
  <si>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</si>
  <si>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</si>
  <si>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</si>
  <si>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</si>
  <si>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</si>
  <si>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</si>
  <si>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</si>
  <si>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</si>
  <si>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</si>
  <si>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</si>
  <si>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</si>
  <si>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</si>
  <si>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</si>
  <si>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</si>
  <si>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</si>
  <si>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</si>
  <si>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</si>
  <si>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</si>
  <si>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</si>
  <si>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</si>
  <si>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</si>
  <si>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</si>
  <si>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</si>
  <si>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</si>
  <si>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</si>
  <si>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</si>
  <si>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</si>
  <si>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</si>
  <si>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</si>
  <si>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</si>
  <si>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</si>
  <si>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</si>
  <si>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</si>
  <si>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</si>
  <si>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</si>
  <si>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</si>
  <si>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</si>
  <si>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</si>
  <si>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</si>
  <si>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</si>
  <si>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</si>
  <si>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</si>
  <si>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</si>
  <si>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</si>
  <si>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</si>
  <si>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</si>
  <si>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</si>
  <si>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</si>
  <si>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</si>
  <si>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</si>
  <si>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</si>
  <si>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</si>
  <si>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</si>
  <si>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</si>
  <si>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</si>
  <si>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</si>
  <si>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</si>
  <si>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</si>
  <si>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</si>
  <si>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</si>
  <si>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</si>
  <si>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</si>
  <si>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</si>
  <si>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</si>
  <si>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</si>
  <si>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</si>
  <si>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</si>
  <si>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</si>
  <si>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</si>
  <si>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</si>
  <si>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</si>
  <si>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</si>
  <si>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</si>
  <si>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</si>
  <si>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</si>
  <si>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</si>
  <si>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</si>
  <si>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</si>
  <si>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</si>
  <si>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</si>
  <si>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</si>
  <si>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</si>
  <si>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</si>
  <si>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</si>
  <si>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</si>
  <si>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</si>
  <si>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</si>
  <si>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</si>
  <si>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</si>
  <si>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</si>
  <si>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</si>
  <si>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</si>
  <si>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</si>
  <si>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</si>
  <si>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</si>
  <si>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</si>
  <si>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</si>
  <si>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</si>
  <si>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</si>
  <si>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</si>
  <si>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</si>
  <si>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</si>
  <si>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</si>
  <si>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</si>
  <si>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</si>
  <si>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</si>
  <si>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</si>
  <si>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</si>
  <si>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</si>
  <si>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</si>
  <si>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</si>
  <si>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</si>
  <si>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</si>
  <si>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</si>
  <si>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</si>
  <si>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</si>
  <si>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</si>
  <si>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</si>
  <si>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</si>
  <si>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</si>
  <si>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</si>
  <si>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</si>
  <si>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</si>
  <si>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</si>
  <si>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</si>
  <si>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</si>
  <si>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</si>
  <si>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</si>
  <si>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</si>
  <si>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</si>
  <si>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</si>
  <si>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</si>
  <si>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</si>
  <si>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</si>
  <si>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</si>
  <si>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</si>
  <si>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</si>
  <si>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</si>
  <si>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</si>
  <si>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</si>
  <si>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</si>
  <si>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</si>
  <si>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</si>
  <si>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</si>
  <si>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</si>
  <si>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</si>
  <si>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</si>
  <si>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</si>
  <si>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</si>
  <si>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</si>
  <si>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</si>
  <si>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</si>
  <si>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</si>
  <si>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</si>
  <si>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</si>
  <si>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</si>
  <si>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</si>
  <si>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</si>
  <si>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</si>
  <si>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</si>
  <si>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</si>
  <si>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</si>
  <si>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</si>
  <si>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</si>
  <si>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</si>
  <si>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</si>
  <si>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</si>
  <si>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</si>
  <si>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</si>
  <si>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</si>
  <si>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</si>
  <si>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</si>
  <si>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</si>
  <si>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</si>
  <si>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</si>
  <si>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</si>
  <si>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</si>
  <si>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</si>
  <si>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</si>
  <si>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</si>
  <si>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</si>
  <si>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</si>
  <si>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</si>
  <si>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</si>
  <si>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</si>
  <si>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</si>
  <si>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</si>
  <si>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</si>
  <si>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</si>
  <si>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</si>
  <si>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</si>
  <si>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</si>
  <si>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</si>
  <si>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</si>
  <si>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</si>
  <si>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</si>
  <si>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</si>
  <si>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</si>
  <si>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</si>
  <si>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</si>
  <si>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</si>
  <si>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</si>
  <si>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</si>
  <si>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</si>
  <si>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</si>
  <si>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</si>
  <si>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</si>
  <si>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</si>
  <si>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</si>
  <si>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</si>
  <si>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</si>
  <si>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</si>
  <si>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</si>
  <si>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</si>
  <si>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</si>
  <si>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</si>
  <si>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</si>
  <si>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</si>
  <si>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</si>
  <si>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</si>
  <si>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</si>
  <si>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</si>
  <si>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</si>
  <si>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</si>
  <si>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</si>
  <si>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</si>
  <si>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</si>
  <si>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</si>
  <si>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</si>
  <si>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</si>
  <si>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</si>
  <si>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</si>
  <si>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</si>
  <si>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</si>
  <si>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</si>
  <si>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</si>
  <si>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</si>
  <si>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</si>
  <si>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</si>
  <si>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</si>
  <si>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</si>
  <si>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</si>
  <si>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</si>
  <si>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</si>
  <si>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</si>
  <si>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</si>
  <si>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</si>
  <si>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</si>
  <si>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</si>
  <si>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</si>
  <si>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</si>
  <si>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</si>
  <si>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</si>
  <si>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</si>
  <si>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</si>
  <si>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</si>
  <si>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</si>
  <si>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</si>
  <si>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</si>
  <si>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</si>
  <si>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</si>
  <si>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</si>
  <si>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</si>
  <si>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</si>
  <si>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</si>
  <si>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</si>
  <si>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</si>
  <si>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</si>
  <si>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</si>
  <si>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</si>
  <si>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</si>
  <si>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</si>
  <si>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</si>
  <si>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</si>
  <si>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</si>
  <si>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</si>
  <si>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</si>
  <si>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</si>
  <si>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</si>
  <si>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</si>
  <si>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</si>
  <si>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</si>
  <si>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</si>
  <si>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</si>
  <si>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</si>
  <si>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</si>
  <si>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</si>
  <si>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</si>
  <si>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</si>
  <si>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</si>
  <si>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</si>
  <si>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</si>
  <si>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</si>
  <si>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</si>
  <si>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</si>
  <si>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</si>
  <si>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</si>
  <si>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</si>
  <si>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</si>
  <si>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</si>
  <si>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</si>
  <si>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</si>
  <si>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</si>
  <si>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</si>
  <si>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</si>
  <si>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</si>
  <si>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</si>
  <si>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</si>
  <si>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</si>
  <si>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</si>
  <si>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</si>
  <si>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</si>
  <si>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</si>
  <si>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</si>
  <si>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</si>
  <si>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</si>
  <si>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</si>
  <si>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</si>
  <si>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</si>
  <si>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</si>
  <si>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</si>
  <si>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</si>
  <si>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</si>
  <si>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</si>
  <si>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</si>
  <si>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</si>
  <si>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</si>
  <si>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</si>
  <si>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</si>
  <si>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</si>
  <si>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</si>
  <si>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</si>
  <si>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</si>
  <si>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</si>
  <si>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</si>
  <si>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</si>
  <si>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</si>
  <si>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</si>
  <si>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</si>
  <si>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</si>
  <si>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</si>
  <si>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</si>
  <si>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</si>
  <si>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</si>
  <si>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</si>
  <si>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</si>
  <si>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</si>
  <si>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</si>
  <si>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</si>
  <si>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</si>
  <si>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</si>
  <si>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</si>
  <si>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</si>
  <si>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</si>
  <si>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</si>
  <si>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</si>
  <si>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</si>
  <si>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</si>
  <si>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</si>
  <si>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</si>
  <si>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</si>
  <si>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</si>
  <si>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</si>
  <si>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</si>
  <si>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</si>
  <si>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</si>
  <si>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</si>
  <si>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</si>
  <si>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</si>
  <si>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</si>
  <si>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</si>
  <si>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</si>
  <si>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</si>
  <si>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</si>
  <si>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</si>
  <si>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</si>
  <si>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</si>
  <si>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</si>
  <si>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</si>
  <si>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</si>
  <si>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</si>
  <si>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</si>
  <si>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</si>
  <si>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</si>
  <si>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</si>
  <si>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</si>
  <si>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</si>
  <si>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</si>
  <si>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</si>
  <si>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</si>
  <si>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</si>
  <si>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</si>
  <si>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</si>
  <si>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</si>
  <si>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</si>
  <si>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</si>
  <si>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</si>
  <si>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</si>
  <si>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</si>
  <si>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</si>
  <si>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</si>
  <si>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</si>
  <si>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</si>
  <si>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</si>
  <si>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</si>
  <si>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</si>
  <si>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</si>
  <si>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</si>
  <si>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</si>
  <si>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</si>
  <si>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</si>
  <si>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</si>
  <si>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</si>
  <si>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</si>
  <si>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</si>
  <si>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</si>
  <si>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</si>
  <si>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</si>
  <si>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</si>
  <si>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</si>
  <si>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</si>
  <si>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</si>
  <si>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</si>
  <si>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</si>
  <si>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</si>
  <si>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</si>
  <si>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</si>
  <si>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</si>
  <si>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</si>
  <si>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</si>
  <si>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</si>
  <si>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</si>
  <si>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</si>
  <si>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</si>
  <si>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</si>
  <si>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</si>
  <si>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</si>
  <si>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</si>
  <si>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</si>
  <si>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</si>
  <si>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</si>
  <si>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</si>
  <si>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</si>
  <si>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</si>
  <si>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</si>
  <si>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</si>
  <si>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</si>
  <si>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</si>
  <si>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</si>
  <si>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</si>
  <si>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</si>
  <si>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</si>
  <si>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</si>
  <si>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</si>
  <si>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</si>
  <si>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</si>
  <si>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</si>
  <si>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</si>
  <si>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</si>
  <si>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</si>
  <si>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</si>
  <si>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</si>
  <si>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</si>
  <si>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</si>
  <si>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</si>
  <si>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</si>
  <si>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</si>
  <si>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</si>
  <si>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</si>
  <si>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</si>
  <si>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</si>
  <si>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</si>
  <si>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</si>
  <si>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</si>
  <si>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</si>
  <si>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</si>
  <si>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</si>
  <si>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</si>
  <si>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</si>
  <si>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</si>
  <si>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</si>
  <si>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</si>
  <si>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</si>
  <si>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</si>
  <si>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</si>
  <si>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</si>
  <si>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</si>
  <si>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</si>
  <si>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</si>
  <si>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</si>
  <si>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</si>
  <si>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</si>
  <si>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</si>
  <si>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</si>
  <si>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</si>
  <si>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</si>
  <si>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</si>
  <si>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</si>
  <si>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</si>
  <si>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</si>
  <si>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</si>
  <si>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</si>
  <si>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</si>
  <si>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</si>
  <si>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</si>
  <si>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</si>
  <si>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</si>
  <si>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</si>
  <si>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</si>
  <si>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</si>
  <si>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</si>
  <si>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</si>
  <si>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</si>
  <si>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</si>
  <si>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</si>
  <si>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</si>
  <si>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</si>
  <si>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</si>
  <si>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</si>
  <si>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</si>
  <si>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</si>
  <si>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</si>
  <si>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</si>
  <si>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</si>
  <si>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</si>
  <si>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</si>
  <si>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</si>
  <si>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</si>
  <si>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</si>
  <si>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</si>
  <si>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</si>
  <si>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</si>
  <si>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</si>
  <si>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</si>
  <si>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</si>
  <si>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</si>
  <si>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</si>
  <si>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</si>
  <si>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</si>
  <si>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</si>
  <si>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</si>
  <si>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</si>
  <si>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</si>
  <si>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</si>
  <si>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</si>
  <si>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</si>
  <si>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</si>
  <si>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</si>
  <si>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</si>
  <si>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</si>
  <si>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</si>
  <si>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</si>
  <si>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</si>
  <si>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</si>
  <si>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</si>
  <si>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</si>
  <si>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</si>
  <si>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</si>
  <si>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</si>
  <si>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</si>
  <si>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</si>
  <si>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</si>
  <si>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</si>
  <si>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</si>
  <si>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</si>
  <si>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</si>
  <si>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</si>
  <si>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</si>
  <si>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</si>
  <si>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</si>
  <si>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</si>
  <si>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</si>
  <si>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</si>
  <si>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</si>
  <si>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</si>
  <si>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</si>
  <si>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</si>
  <si>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</si>
  <si>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</si>
  <si>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</si>
  <si>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</si>
  <si>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</si>
  <si>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</si>
  <si>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</si>
  <si>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</si>
  <si>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</si>
  <si>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</si>
  <si>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</si>
  <si>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</si>
  <si>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</si>
  <si>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</si>
  <si>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</si>
  <si>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</si>
  <si>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</si>
  <si>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</si>
  <si>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</si>
  <si>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</si>
  <si>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</si>
  <si>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</si>
  <si>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</si>
  <si>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</si>
  <si>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</si>
  <si>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</si>
  <si>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</si>
  <si>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</si>
  <si>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</si>
  <si>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</si>
  <si>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</si>
  <si>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</si>
  <si>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</si>
  <si>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</si>
  <si>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</si>
  <si>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</si>
  <si>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</si>
  <si>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</si>
  <si>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</si>
  <si>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</si>
  <si>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</si>
  <si>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</si>
  <si>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</si>
  <si>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</si>
  <si>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</si>
  <si>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</si>
  <si>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</si>
  <si>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</si>
  <si>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</si>
  <si>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</si>
  <si>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</si>
  <si>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</si>
  <si>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</si>
  <si>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</si>
  <si>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</si>
  <si>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</si>
  <si>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</si>
  <si>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</si>
  <si>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</si>
  <si>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</si>
  <si>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</si>
  <si>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</si>
  <si>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</si>
  <si>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</si>
  <si>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</si>
  <si>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</si>
  <si>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</si>
  <si>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</si>
  <si>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</si>
  <si>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</si>
  <si>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</si>
  <si>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</si>
  <si>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</si>
  <si>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</si>
  <si>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</si>
  <si>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</si>
  <si>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</si>
  <si>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</si>
  <si>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</si>
  <si>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</si>
  <si>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</si>
  <si>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</si>
  <si>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</si>
  <si>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</si>
  <si>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</si>
  <si>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</si>
  <si>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</si>
  <si>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</si>
  <si>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</si>
  <si>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</si>
  <si>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</si>
  <si>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</si>
  <si>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</si>
  <si>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</si>
  <si>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</si>
  <si>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</si>
  <si>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</si>
  <si>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</si>
  <si>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</si>
  <si>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</si>
  <si>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</si>
  <si>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</si>
  <si>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</si>
  <si>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</si>
  <si>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</si>
  <si>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</si>
  <si>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</si>
  <si>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</si>
  <si>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</si>
  <si>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</si>
  <si>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</si>
  <si>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</si>
  <si>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</si>
  <si>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</si>
  <si>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</si>
  <si>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</si>
  <si>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</si>
  <si>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</si>
  <si>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</si>
  <si>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</si>
  <si>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</si>
  <si>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</si>
  <si>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</si>
  <si>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</si>
  <si>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</si>
  <si>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</si>
  <si>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</si>
  <si>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</si>
  <si>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</si>
  <si>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</si>
  <si>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</si>
  <si>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</si>
  <si>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</si>
  <si>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</si>
  <si>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</si>
  <si>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</si>
  <si>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</si>
  <si>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</si>
  <si>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</si>
  <si>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</si>
  <si>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</si>
  <si>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</si>
  <si>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</si>
  <si>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</si>
  <si>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</si>
  <si>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</si>
  <si>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</si>
  <si>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</si>
  <si>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</si>
  <si>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</si>
  <si>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</si>
  <si>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</si>
  <si>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</si>
  <si>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</si>
  <si>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</si>
  <si>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</si>
  <si>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</si>
  <si>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</si>
  <si>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</si>
  <si>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</si>
  <si>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</si>
  <si>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</si>
  <si>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</si>
  <si>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</si>
  <si>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</si>
  <si>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</si>
  <si>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</si>
  <si>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</si>
  <si>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</si>
  <si>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</si>
  <si>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</si>
  <si>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</si>
  <si>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</si>
  <si>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</si>
  <si>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</si>
  <si>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</si>
  <si>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</si>
  <si>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</si>
  <si>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</si>
  <si>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</si>
  <si>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</si>
  <si>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</si>
  <si>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</si>
  <si>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</si>
  <si>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</si>
  <si>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</si>
  <si>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</si>
  <si>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</si>
  <si>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</si>
  <si>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</si>
  <si>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</si>
  <si>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</si>
  <si>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</si>
  <si>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</si>
  <si>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</si>
  <si>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</si>
  <si>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</si>
  <si>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</si>
  <si>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</si>
  <si>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</si>
  <si>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</si>
  <si>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</si>
  <si>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</si>
  <si>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</si>
  <si>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</si>
  <si>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</si>
  <si>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</si>
  <si>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</si>
  <si>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</si>
  <si>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</si>
  <si>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</si>
  <si>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</si>
  <si>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</si>
  <si>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</si>
  <si>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</si>
  <si>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</si>
  <si>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</si>
  <si>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</si>
  <si>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</si>
  <si>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</si>
  <si>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</si>
  <si>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</si>
  <si>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</si>
  <si>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</si>
  <si>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</si>
  <si>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</si>
  <si>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</si>
  <si>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</si>
  <si>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</si>
  <si>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</si>
  <si>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</si>
  <si>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</si>
  <si>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</si>
  <si>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</si>
  <si>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</si>
  <si>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</si>
  <si>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</si>
  <si>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</si>
  <si>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</si>
  <si>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</si>
  <si>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</si>
  <si>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</si>
  <si>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</si>
  <si>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</si>
  <si>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</si>
  <si>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</si>
  <si>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</si>
  <si>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</si>
  <si>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</si>
  <si>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</si>
  <si>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</si>
  <si>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</si>
  <si>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</si>
  <si>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</si>
  <si>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</si>
  <si>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</si>
  <si>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</si>
  <si>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</si>
  <si>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</si>
  <si>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</si>
  <si>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</si>
  <si>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</si>
  <si>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</si>
  <si>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</si>
  <si>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</si>
  <si>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</si>
  <si>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</si>
  <si>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</si>
  <si>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</si>
  <si>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</si>
  <si>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</si>
  <si>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</si>
  <si>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</si>
  <si>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</si>
  <si>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</si>
  <si>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</si>
  <si>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</si>
  <si>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</si>
  <si>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</si>
  <si>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</si>
  <si>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</si>
  <si>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</si>
  <si>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</si>
  <si>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</si>
  <si>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</si>
  <si>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</si>
  <si>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</si>
  <si>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</si>
  <si>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</si>
  <si>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</si>
  <si>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</si>
  <si>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</si>
  <si>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</si>
  <si>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</si>
  <si>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</si>
  <si>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</si>
  <si>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</si>
  <si>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</si>
  <si>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</si>
  <si>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</si>
  <si>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</si>
  <si>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</si>
  <si>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</si>
  <si>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</si>
  <si>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</si>
  <si>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</si>
  <si>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</si>
  <si>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</si>
  <si>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</si>
  <si>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</si>
  <si>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</si>
  <si>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</si>
  <si>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</si>
  <si>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</si>
  <si>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</si>
  <si>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</si>
  <si>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</si>
  <si>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</si>
  <si>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</si>
  <si>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</si>
  <si>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</si>
  <si>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</si>
  <si>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</si>
  <si>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</si>
  <si>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</si>
  <si>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</si>
  <si>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</si>
  <si>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</si>
  <si>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</si>
  <si>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</si>
  <si>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</si>
  <si>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</si>
  <si>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</si>
  <si>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</si>
  <si>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</si>
  <si>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</si>
  <si>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</si>
  <si>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</si>
  <si>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</si>
  <si>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</si>
  <si>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</si>
  <si>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</si>
  <si>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</si>
  <si>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</si>
  <si>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</si>
  <si>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</si>
  <si>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</si>
  <si>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</si>
  <si>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</si>
  <si>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</si>
  <si>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</si>
  <si>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</si>
  <si>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</si>
  <si>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</si>
  <si>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</si>
  <si>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</si>
  <si>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</si>
  <si>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</si>
  <si>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</si>
  <si>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</si>
  <si>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</si>
  <si>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</si>
  <si>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</si>
  <si>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</si>
  <si>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</si>
  <si>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</si>
  <si>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</si>
  <si>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</si>
  <si>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</si>
  <si>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</si>
  <si>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</si>
  <si>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</si>
  <si>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</si>
  <si>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</si>
  <si>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</si>
  <si>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</si>
  <si>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</si>
  <si>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</si>
  <si>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</si>
  <si>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</si>
  <si>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</si>
  <si>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</si>
  <si>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</si>
  <si>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</si>
  <si>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</si>
  <si>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</si>
  <si>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</si>
  <si>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</si>
  <si>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</si>
  <si>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</si>
  <si>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</si>
  <si>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</si>
  <si>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</si>
  <si>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</si>
  <si>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</si>
  <si>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</si>
  <si>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</si>
  <si>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</si>
  <si>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</si>
  <si>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</si>
  <si>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</si>
  <si>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</si>
  <si>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</si>
  <si>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</si>
  <si>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</si>
  <si>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</si>
  <si>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</si>
  <si>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</si>
  <si>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</si>
  <si>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</si>
  <si>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</si>
  <si>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</si>
  <si>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</si>
  <si>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</si>
  <si>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</si>
  <si>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</si>
  <si>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</si>
  <si>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</si>
  <si>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</si>
  <si>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</si>
  <si>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</si>
  <si>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</si>
  <si>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</si>
  <si>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</si>
  <si>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</si>
  <si>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</si>
  <si>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</si>
  <si>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</si>
  <si>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</si>
  <si>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</si>
  <si>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</si>
  <si>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</si>
  <si>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</si>
  <si>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</si>
  <si>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</si>
  <si>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</si>
  <si>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</si>
  <si>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</si>
  <si>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</si>
  <si>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</si>
  <si>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</si>
  <si>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</si>
  <si>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</si>
  <si>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</si>
  <si>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</si>
  <si>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</si>
  <si>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</si>
  <si>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</si>
  <si>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</si>
  <si>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</si>
  <si>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</si>
  <si>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</si>
  <si>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</si>
  <si>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</si>
  <si>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</si>
  <si>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</si>
  <si>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</si>
  <si>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</si>
  <si>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</si>
  <si>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</si>
  <si>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</si>
  <si>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</si>
  <si>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</si>
  <si>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</si>
  <si>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</si>
  <si>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</si>
  <si>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</si>
  <si>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</si>
  <si>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</si>
  <si>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</si>
  <si>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</si>
  <si>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</si>
  <si>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</si>
  <si>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</si>
  <si>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</si>
  <si>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</si>
  <si>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</si>
  <si>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</si>
  <si>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</si>
  <si>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</si>
  <si>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</si>
  <si>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</si>
  <si>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</si>
  <si>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</si>
  <si>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</si>
  <si>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</si>
  <si>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</si>
  <si>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</si>
  <si>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</si>
  <si>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</si>
  <si>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</si>
  <si>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</si>
  <si>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</si>
  <si>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</si>
  <si>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</si>
  <si>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</si>
  <si>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</si>
  <si>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</si>
  <si>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</si>
  <si>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</si>
  <si>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</si>
  <si>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</si>
  <si>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</si>
  <si>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</si>
  <si>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</si>
  <si>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</si>
  <si>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</si>
  <si>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</si>
  <si>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</si>
  <si>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</si>
  <si>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</si>
  <si>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</si>
  <si>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</si>
  <si>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</si>
  <si>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</si>
  <si>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</si>
  <si>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</si>
  <si>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</si>
  <si>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</si>
  <si>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</si>
  <si>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</si>
  <si>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</si>
  <si>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</si>
  <si>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</si>
  <si>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</si>
  <si>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</si>
  <si>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</si>
  <si>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</si>
  <si>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</si>
  <si>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</si>
  <si>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</si>
  <si>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</si>
  <si>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</si>
  <si>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</si>
  <si>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</si>
  <si>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</si>
  <si>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</si>
  <si>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</si>
  <si>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</si>
  <si>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</si>
  <si>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</si>
  <si>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</si>
  <si>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</si>
  <si>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</si>
  <si>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</si>
  <si>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</si>
  <si>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</si>
  <si>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</si>
  <si>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</si>
  <si>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</si>
  <si>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</si>
  <si>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</si>
  <si>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</si>
  <si>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</si>
  <si>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</si>
  <si>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</si>
  <si>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</si>
  <si>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</si>
  <si>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</si>
  <si>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</si>
  <si>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</si>
  <si>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</si>
  <si>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</si>
  <si>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</si>
  <si>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</si>
  <si>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</si>
  <si>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</si>
  <si>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</si>
  <si>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</si>
  <si>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</si>
  <si>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</si>
  <si>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</si>
  <si>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</si>
  <si>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</si>
  <si>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</si>
  <si>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</si>
  <si>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</si>
  <si>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</si>
  <si>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</si>
  <si>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</si>
  <si>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</si>
  <si>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</si>
  <si>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</si>
  <si>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</si>
  <si>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</si>
  <si>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</si>
  <si>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</si>
  <si>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</si>
  <si>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</si>
  <si>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</si>
  <si>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</si>
  <si>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</si>
  <si>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</si>
  <si>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</si>
  <si>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</si>
  <si>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</si>
  <si>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</si>
  <si>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</si>
  <si>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</si>
  <si>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</si>
  <si>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</si>
  <si>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</si>
  <si>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</si>
  <si>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</si>
  <si>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</si>
  <si>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</si>
  <si>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</si>
  <si>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</si>
  <si>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</si>
  <si>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</si>
  <si>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</si>
  <si>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</si>
  <si>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</si>
  <si>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</si>
  <si>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</si>
  <si>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</si>
  <si>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</si>
  <si>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</si>
  <si>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</si>
  <si>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</si>
  <si>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</si>
  <si>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</si>
  <si>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</si>
  <si>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</si>
  <si>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</si>
  <si>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</si>
  <si>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</si>
  <si>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</si>
  <si>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</si>
  <si>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</si>
  <si>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</si>
  <si>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</si>
  <si>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</si>
  <si>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</si>
  <si>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</si>
  <si>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</si>
  <si>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</si>
  <si>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</si>
  <si>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</si>
  <si>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</si>
  <si>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</si>
  <si>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</si>
  <si>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</si>
  <si>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</si>
  <si>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</si>
  <si>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</si>
  <si>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</si>
  <si>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</si>
  <si>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</si>
  <si>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</si>
  <si>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</si>
  <si>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</si>
  <si>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</si>
  <si>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</si>
  <si>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</si>
  <si>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</si>
  <si>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</si>
  <si>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</si>
  <si>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</si>
  <si>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</si>
  <si>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</si>
  <si>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</si>
  <si>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</si>
  <si>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</si>
  <si>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</si>
  <si>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</si>
  <si>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</si>
  <si>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</si>
  <si>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</si>
  <si>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</si>
  <si>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</si>
  <si>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</si>
  <si>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</si>
  <si>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</si>
  <si>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</si>
  <si>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</si>
  <si>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</si>
  <si>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</si>
  <si>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</si>
  <si>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</si>
  <si>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</si>
  <si>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</si>
  <si>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</si>
  <si>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</si>
  <si>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</si>
  <si>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</si>
  <si>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</si>
  <si>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</si>
  <si>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</si>
  <si>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</si>
  <si>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</si>
  <si>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</si>
  <si>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</si>
  <si>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</si>
  <si>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</si>
  <si>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</si>
  <si>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</si>
  <si>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</si>
  <si>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</si>
  <si>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</si>
  <si>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</si>
  <si>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</si>
  <si>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</si>
  <si>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</si>
  <si>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</si>
  <si>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</si>
  <si>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</si>
  <si>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</si>
  <si>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</si>
  <si>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</si>
  <si>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</si>
  <si>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</si>
  <si>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</si>
  <si>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</si>
  <si>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</si>
  <si>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</si>
  <si>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</si>
  <si>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</si>
  <si>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</si>
  <si>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</si>
  <si>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</si>
  <si>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</si>
  <si>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</si>
  <si>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</si>
  <si>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</si>
  <si>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</si>
  <si>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</si>
  <si>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</si>
  <si>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</si>
  <si>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</si>
  <si>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</si>
  <si>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</si>
  <si>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</si>
  <si>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</si>
  <si>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</si>
  <si>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</si>
  <si>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</si>
  <si>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</si>
  <si>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</si>
  <si>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</si>
  <si>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</si>
  <si>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</si>
  <si>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</si>
  <si>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</si>
  <si>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</si>
  <si>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</si>
  <si>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</si>
  <si>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</si>
  <si>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</si>
  <si>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</si>
  <si>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</si>
  <si>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</si>
  <si>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</si>
  <si>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</si>
  <si>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</si>
  <si>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</si>
  <si>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</si>
  <si>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</si>
  <si>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</si>
  <si>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</si>
  <si>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</si>
  <si>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</si>
  <si>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</si>
  <si>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</si>
  <si>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</si>
  <si>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</si>
  <si>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</si>
  <si>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</si>
  <si>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</si>
  <si>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</si>
  <si>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</si>
  <si>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</si>
  <si>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</si>
  <si>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</si>
  <si>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</si>
  <si>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</si>
  <si>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</si>
  <si>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</si>
  <si>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</si>
  <si>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</si>
  <si>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</si>
  <si>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</si>
  <si>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</si>
  <si>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</si>
  <si>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</si>
  <si>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</si>
  <si>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</si>
  <si>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</si>
  <si>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</si>
  <si>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</si>
  <si>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</si>
  <si>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</si>
  <si>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</si>
  <si>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</si>
  <si>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</si>
  <si>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</si>
  <si>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</si>
  <si>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</si>
  <si>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</si>
  <si>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</si>
  <si>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</si>
  <si>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</si>
  <si>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</si>
  <si>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</si>
  <si>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</si>
  <si>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</si>
  <si>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</si>
  <si>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</si>
  <si>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</si>
  <si>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</si>
  <si>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</si>
  <si>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</si>
  <si>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</si>
  <si>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</si>
  <si>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</si>
  <si>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</si>
  <si>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</si>
  <si>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</si>
  <si>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</si>
  <si>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</si>
  <si>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</si>
  <si>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</si>
  <si>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</si>
  <si>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</si>
  <si>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</si>
  <si>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</si>
  <si>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</si>
  <si>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</si>
  <si>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</si>
  <si>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</si>
  <si>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</si>
  <si>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</si>
  <si>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</si>
  <si>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</si>
  <si>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</si>
  <si>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</si>
  <si>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</si>
  <si>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</si>
  <si>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</si>
  <si>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</si>
  <si>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</si>
  <si>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</si>
  <si>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</si>
  <si>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</si>
  <si>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</si>
  <si>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</si>
  <si>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</si>
  <si>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</si>
  <si>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</si>
  <si>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</si>
  <si>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</si>
  <si>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</si>
  <si>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</si>
  <si>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</si>
  <si>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</si>
  <si>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</si>
  <si>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</si>
  <si>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</si>
  <si>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</si>
  <si>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</si>
  <si>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</si>
  <si>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</si>
  <si>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</si>
  <si>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</si>
  <si>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</si>
  <si>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</si>
  <si>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</si>
  <si>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</si>
  <si>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</si>
  <si>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</si>
  <si>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</si>
  <si>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</si>
  <si>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</si>
  <si>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</si>
  <si>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</si>
  <si>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</si>
  <si>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</si>
  <si>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</si>
  <si>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</si>
  <si>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</si>
  <si>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</si>
  <si>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</si>
  <si>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</si>
  <si>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</si>
  <si>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</si>
  <si>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</si>
  <si>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</si>
  <si>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</si>
  <si>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</si>
  <si>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</si>
  <si>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</si>
  <si>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</si>
  <si>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</si>
  <si>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</si>
  <si>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</si>
  <si>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</si>
  <si>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</si>
  <si>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</si>
  <si>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</si>
  <si>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</si>
  <si>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</si>
  <si>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</si>
  <si>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</si>
  <si>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</si>
  <si>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</si>
  <si>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</si>
  <si>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</si>
  <si>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</si>
  <si>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</si>
  <si>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</si>
  <si>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</si>
  <si>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</si>
  <si>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</si>
  <si>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</si>
  <si>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</si>
  <si>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</si>
  <si>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</si>
  <si>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</si>
  <si>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</si>
  <si>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</si>
  <si>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</si>
  <si>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</si>
  <si>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</si>
  <si>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</si>
  <si>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</si>
  <si>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</si>
  <si>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</si>
  <si>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</si>
  <si>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</si>
  <si>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</si>
  <si>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</si>
  <si>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</si>
  <si>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</si>
  <si>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</si>
  <si>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</si>
  <si>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</si>
  <si>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</si>
  <si>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</si>
  <si>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</si>
  <si>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</si>
  <si>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</si>
  <si>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</si>
  <si>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</si>
  <si>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</si>
  <si>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</si>
  <si>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</si>
  <si>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</si>
  <si>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</si>
  <si>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</si>
  <si>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</si>
  <si>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</si>
  <si>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</si>
  <si>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</si>
  <si>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</si>
  <si>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</si>
  <si>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</si>
  <si>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</si>
  <si>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</si>
  <si>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</si>
  <si>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</si>
  <si>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</si>
  <si>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</si>
  <si>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</si>
  <si>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</si>
  <si>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</si>
  <si>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</si>
  <si>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</si>
  <si>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</si>
  <si>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</si>
  <si>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</si>
  <si>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</si>
  <si>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</si>
  <si>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</si>
  <si>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</si>
  <si>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</si>
  <si>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</si>
  <si>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</si>
  <si>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</si>
  <si>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</si>
  <si>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</si>
  <si>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</si>
  <si>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</si>
  <si>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</si>
  <si>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</si>
  <si>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</si>
  <si>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</si>
  <si>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</si>
  <si>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</si>
  <si>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</si>
  <si>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</si>
  <si>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</si>
  <si>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</si>
  <si>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</si>
  <si>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</si>
  <si>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</si>
  <si>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</si>
  <si>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</si>
  <si>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</si>
  <si>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</si>
  <si>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</si>
  <si>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</si>
  <si>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</si>
  <si>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</si>
  <si>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</si>
  <si>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</si>
  <si>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</si>
  <si>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</si>
  <si>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</si>
  <si>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</si>
  <si>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</si>
  <si>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</si>
  <si>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</si>
  <si>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</si>
  <si>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</si>
  <si>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</si>
  <si>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</si>
  <si>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</si>
  <si>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</si>
  <si>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</si>
  <si>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</si>
  <si>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</si>
  <si>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</si>
  <si>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</si>
  <si>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</si>
  <si>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</si>
  <si>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</si>
  <si>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</si>
  <si>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</si>
  <si>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</si>
  <si>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</si>
  <si>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</si>
  <si>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</si>
  <si>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</si>
  <si>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</si>
  <si>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</si>
  <si>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</si>
  <si>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</si>
  <si>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</si>
  <si>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</si>
  <si>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</si>
  <si>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</si>
  <si>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</si>
  <si>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</si>
  <si>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</si>
  <si>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</si>
  <si>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</si>
  <si>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</si>
  <si>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</si>
  <si>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</si>
  <si>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</si>
  <si>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</si>
  <si>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</si>
  <si>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</si>
  <si>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</si>
  <si>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</si>
  <si>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</si>
  <si>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</si>
  <si>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</si>
  <si>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</si>
  <si>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</si>
  <si>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</si>
  <si>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</si>
  <si>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</si>
  <si>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</si>
  <si>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</si>
  <si>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</si>
  <si>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</si>
  <si>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</si>
  <si>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</si>
  <si>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</si>
  <si>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</si>
  <si>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</si>
  <si>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</si>
  <si>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</si>
  <si>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</si>
  <si>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</si>
  <si>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</si>
  <si>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</si>
  <si>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</si>
  <si>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</si>
  <si>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</si>
  <si>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</si>
  <si>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</si>
  <si>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</si>
  <si>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</si>
  <si>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</si>
  <si>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</si>
  <si>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</si>
  <si>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</si>
  <si>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</si>
  <si>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</si>
  <si>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</si>
  <si>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</si>
  <si>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</si>
  <si>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</si>
  <si>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</si>
  <si>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</si>
  <si>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</si>
  <si>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</si>
  <si>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</si>
  <si>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</si>
  <si>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</si>
  <si>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</si>
  <si>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</si>
  <si>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</si>
  <si>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</si>
  <si>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</si>
  <si>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</si>
  <si>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</si>
  <si>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</si>
  <si>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</si>
  <si>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</si>
  <si>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</si>
  <si>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</si>
  <si>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</si>
  <si>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</si>
  <si>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</si>
  <si>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</si>
  <si>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</si>
  <si>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</si>
  <si>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</si>
  <si>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</si>
  <si>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</si>
  <si>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</si>
  <si>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</si>
  <si>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</si>
  <si>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</si>
  <si>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</si>
  <si>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</si>
  <si>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</si>
  <si>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</si>
  <si>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</si>
  <si>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</si>
  <si>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</si>
  <si>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</si>
  <si>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</si>
  <si>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</si>
  <si>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</si>
  <si>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</si>
  <si>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</si>
  <si>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</si>
  <si>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</si>
  <si>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</si>
  <si>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</si>
  <si>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</si>
  <si>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</si>
  <si>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</si>
  <si>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</si>
  <si>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</si>
  <si>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</si>
  <si>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</si>
  <si>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</si>
  <si>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</si>
  <si>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</si>
  <si>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</si>
  <si>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</si>
  <si>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</si>
  <si>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</si>
  <si>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</si>
  <si>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</si>
  <si>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</si>
  <si>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</si>
  <si>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</si>
  <si>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</si>
  <si>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</si>
  <si>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</si>
  <si>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</si>
  <si>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</si>
  <si>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</si>
  <si>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</si>
  <si>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</si>
  <si>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</si>
  <si>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</si>
  <si>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</si>
  <si>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</si>
  <si>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</si>
  <si>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</si>
  <si>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</si>
  <si>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</si>
  <si>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</si>
  <si>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</si>
  <si>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</si>
  <si>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</si>
  <si>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</si>
  <si>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</si>
  <si>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</si>
  <si>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</si>
  <si>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</si>
  <si>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</si>
  <si>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</si>
  <si>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</si>
  <si>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</si>
  <si>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</si>
  <si>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</si>
  <si>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</si>
  <si>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</si>
  <si>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</si>
  <si>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</si>
  <si>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</si>
  <si>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</si>
  <si>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</si>
  <si>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</si>
  <si>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</si>
  <si>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</si>
  <si>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</si>
  <si>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</si>
  <si>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</si>
  <si>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</si>
  <si>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</si>
  <si>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</si>
  <si>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</si>
  <si>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</si>
  <si>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</si>
  <si>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</si>
  <si>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</si>
  <si>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</si>
  <si>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</si>
  <si>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</si>
  <si>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</si>
  <si>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</si>
  <si>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</si>
  <si>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</si>
  <si>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</si>
  <si>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</si>
  <si>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</si>
  <si>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</si>
  <si>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</si>
  <si>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</si>
  <si>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</si>
  <si>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</si>
  <si>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</si>
  <si>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</si>
  <si>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</si>
  <si>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</si>
  <si>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</si>
  <si>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</si>
  <si>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</si>
  <si>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</si>
  <si>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</si>
  <si>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</si>
  <si>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</si>
  <si>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</si>
  <si>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</si>
  <si>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</si>
  <si>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</si>
  <si>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</si>
  <si>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</si>
  <si>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</si>
  <si>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</si>
  <si>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</si>
  <si>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</si>
  <si>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</si>
  <si>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</si>
  <si>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</si>
  <si>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</si>
  <si>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</si>
  <si>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</si>
  <si>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</si>
  <si>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</si>
  <si>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</si>
  <si>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</si>
  <si>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</si>
  <si>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</si>
  <si>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</si>
  <si>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</si>
  <si>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</si>
  <si>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</si>
  <si>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</si>
  <si>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</si>
  <si>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</si>
  <si>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</si>
  <si>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</si>
  <si>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</si>
  <si>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</si>
  <si>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</si>
  <si>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</si>
  <si>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</si>
  <si>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</si>
  <si>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</si>
  <si>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</si>
  <si>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</si>
  <si>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</si>
  <si>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</si>
  <si>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</si>
  <si>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</si>
  <si>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</si>
  <si>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</si>
  <si>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</si>
  <si>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</si>
  <si>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</si>
  <si>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</si>
  <si>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</si>
  <si>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</si>
  <si>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</si>
  <si>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</si>
  <si>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</si>
  <si>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</si>
  <si>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</si>
  <si>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</si>
  <si>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</si>
  <si>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</si>
  <si>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</si>
  <si>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</si>
  <si>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</si>
  <si>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</si>
  <si>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</si>
  <si>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</si>
  <si>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</si>
  <si>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</si>
  <si>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</si>
  <si>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</si>
  <si>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</si>
  <si>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</si>
  <si>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</si>
  <si>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</si>
  <si>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</si>
  <si>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</si>
  <si>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</si>
  <si>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</si>
  <si>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</si>
  <si>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</si>
  <si>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</si>
  <si>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</si>
  <si>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</si>
  <si>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</si>
  <si>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</si>
  <si>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</si>
  <si>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</si>
  <si>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</si>
  <si>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</si>
  <si>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</si>
  <si>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</si>
  <si>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</si>
  <si>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</si>
  <si>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</si>
  <si>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</si>
  <si>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</si>
  <si>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</si>
  <si>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</si>
  <si>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</si>
  <si>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</si>
  <si>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</si>
  <si>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</si>
  <si>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</si>
  <si>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</si>
  <si>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</si>
  <si>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</si>
  <si>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</si>
  <si>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</si>
  <si>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</si>
  <si>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</si>
  <si>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</si>
  <si>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</si>
  <si>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</si>
  <si>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</si>
  <si>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</si>
  <si>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</si>
  <si>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</si>
  <si>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</si>
  <si>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</si>
  <si>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</si>
  <si>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</si>
  <si>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</si>
  <si>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</si>
  <si>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</si>
  <si>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</si>
  <si>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</si>
  <si>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</si>
  <si>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</si>
  <si>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</si>
  <si>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</si>
  <si>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</si>
  <si>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</si>
  <si>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</si>
  <si>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</si>
  <si>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</si>
  <si>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</si>
  <si>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</si>
  <si>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</si>
  <si>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</si>
  <si>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</si>
  <si>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</si>
  <si>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</si>
  <si>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</si>
  <si>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</si>
  <si>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</si>
  <si>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</si>
  <si>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</si>
  <si>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</si>
  <si>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</si>
  <si>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</si>
  <si>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</si>
  <si>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</si>
  <si>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</si>
  <si>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</si>
  <si>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</si>
  <si>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</si>
  <si>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</si>
  <si>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</si>
  <si>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</si>
  <si>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</si>
  <si>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</si>
  <si>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</si>
  <si>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</si>
  <si>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</si>
  <si>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</si>
  <si>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</si>
  <si>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</si>
  <si>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</si>
  <si>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</si>
  <si>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</si>
  <si>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</si>
  <si>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</si>
  <si>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</si>
  <si>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</si>
  <si>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</si>
  <si>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</si>
  <si>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</si>
  <si>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</si>
  <si>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</si>
  <si>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</si>
  <si>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</si>
  <si>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</si>
  <si>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</si>
  <si>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</si>
  <si>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</si>
  <si>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</si>
  <si>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</si>
  <si>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</si>
  <si>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</si>
  <si>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</si>
  <si>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</si>
  <si>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</si>
  <si>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</si>
  <si>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</si>
  <si>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</si>
  <si>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</si>
  <si>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</si>
  <si>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</si>
  <si>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</si>
  <si>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</si>
  <si>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</si>
  <si>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</si>
  <si>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</si>
  <si>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</si>
  <si>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</si>
  <si>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</si>
  <si>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</si>
  <si>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</si>
  <si>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</si>
  <si>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</si>
  <si>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</si>
  <si>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</si>
  <si>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</si>
  <si>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</si>
  <si>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</si>
  <si>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</si>
  <si>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</si>
  <si>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</si>
  <si>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</si>
  <si>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</si>
  <si>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</si>
  <si>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</si>
  <si>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</si>
  <si>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</si>
  <si>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</si>
  <si>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</si>
  <si>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</si>
  <si>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</si>
  <si>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</si>
  <si>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</si>
  <si>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</si>
  <si>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</si>
  <si>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</si>
  <si>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</si>
  <si>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</si>
  <si>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</si>
  <si>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</si>
  <si>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</si>
  <si>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</si>
  <si>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</si>
  <si>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</si>
  <si>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</si>
  <si>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</si>
  <si>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</si>
  <si>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</si>
  <si>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</si>
  <si>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</si>
  <si>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</si>
  <si>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</si>
  <si>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</si>
  <si>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</si>
  <si>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</si>
  <si>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</si>
  <si>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</si>
  <si>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</si>
  <si>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</si>
  <si>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</si>
  <si>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</si>
  <si>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</si>
  <si>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</si>
  <si>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</si>
  <si>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</si>
  <si>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</si>
  <si>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</si>
  <si>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</si>
  <si>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</si>
  <si>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</si>
  <si>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</si>
  <si>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</si>
  <si>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</si>
  <si>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</si>
  <si>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</si>
  <si>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</si>
  <si>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</si>
  <si>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</si>
  <si>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</si>
  <si>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</si>
  <si>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</si>
  <si>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</si>
  <si>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</si>
  <si>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</si>
  <si>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</si>
  <si>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</si>
  <si>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</si>
  <si>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Ministry of Works, Municipalities Affairs and Urban Planning</t>
  </si>
  <si>
    <t>BHR_2017_UNSD</t>
  </si>
  <si>
    <t>BHR_2017_MWMAUP</t>
  </si>
  <si>
    <t>Table W5, derived from the proportion of the population connected to wastewater treatment plants (line 2=81%) divided by the proportion of the population connected to wastewater collecting systems (sewers; line 1=81%)</t>
  </si>
  <si>
    <t>Table W4, derived from the volume of urban wastewater (1000 m3/year) collected at wastewater treatment plants and treated by secondary or higher processes [secondary (line 13=206.7) &amp; tertiary (line 14=206.6) treatment] divided by the volume collected at wastewater treatment plants [primary (line 12=0), secondary (line 13=206.7), &amp; tertiary (line 14=206.6) treatment].</t>
  </si>
  <si>
    <t>Value assumed to be zero, as the sum of the reported data for the septic tank emptying variables ([23], [24], [25], [26]) already equals 100%.</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</si>
  <si>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</si>
  <si>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</si>
  <si>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</si>
  <si>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</si>
  <si>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</si>
  <si>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</si>
  <si>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BHR_2012_UNSD</t>
  </si>
  <si>
    <t>BHR_2013_UNSD</t>
  </si>
  <si>
    <t>BHR_2014_UNSD</t>
  </si>
  <si>
    <t>BHR_2015_UNSD</t>
  </si>
  <si>
    <t>BHR_2016_UNSD</t>
  </si>
  <si>
    <t>Table W4, Line 9, Total wastewater generated by households</t>
  </si>
  <si>
    <t>Table W5, derived from the proportion of the population connected to wastewater treatment plants (line 2=87%) divided by the proportion of the population connected to wastewater collecting systems (sewers; line 1=87%)</t>
  </si>
  <si>
    <t>Table W5, derived from the proportion of the population connected to wastewater treatment plants (line 2=90%) divided by the proportion of the population connected to wastewater collecting systems (sewers; line 1=90%)</t>
  </si>
  <si>
    <t>Table W5, derived from the proportion of the population connected to wastewater treatment plants (line 2=88%) divided by the proportion of the population connected to wastewater collecting systems (sewers; line 1=88%)</t>
  </si>
  <si>
    <t>Table W5, derived from the proportion of the population connected to wastewater treatment plants (line 2=85%) divided by the proportion of the population connected to wastewater collecting systems (sewers; line 1=85%)</t>
  </si>
  <si>
    <t>Table W4, derived from the volume of urban wastewater (1000 m3/year) collected at wastewater treatment plants and treated by secondary or higher processes [secondary (line 13=190.4) &amp; tertiary (line 14=129.3) treatment] divided by the volume collected at wastewater treatment plants [primary (line 12=0), secondary (line 13=190.4), &amp; tertiary (line 14=129.3) treatment].</t>
  </si>
  <si>
    <t>Table W4, derived from the volume of urban wastewater (1000 m3/year) collected at wastewater treatment plants and treated by secondary or higher processes [secondary (line 13=220.7) &amp; tertiary (line 14=118.8) treatment] divided by the volume collected at wastewater treatment plants [primary (line 12=0), secondary (line 13=220.7), &amp; tertiary (line 14=118.8) treatment].</t>
  </si>
  <si>
    <t>Table W4, derived from the volume of urban wastewater (1000 m3/year) collected at wastewater treatment plants and treated by secondary or higher processes [secondary (line 13=218.3) &amp; tertiary (line 14=189.2) treatment] divided by the volume collected at wastewater treatment plants [primary (line 12=0), secondary (line 13=218.3), &amp; tertiary (line 14=189.2) treatment].</t>
  </si>
  <si>
    <t>Table W4, derived from the volume of urban wastewater (1000 m3/year) collected at wastewater treatment plants and treated by secondary or higher processes [secondary (line 13=211.4) &amp; tertiary (line 14=188) treatment] divided by the volume collected at wastewater treatment plants [primary (line 12=0), secondary (line 13=211.4), &amp; tertiary (line 14=188) treatment].</t>
  </si>
  <si>
    <t>Table W4, derived from the volume of urban wastewater (1000 m3/year) collected at wastewater treatment plants and treated by secondary or higher processes [secondary (line 13=198.2) &amp; tertiary (line 14=208.9) treatment] divided by the volume collected at wastewater treatment plants [primary (line 12=0), secondary (line 13=198.2), &amp; tertiary (line 14=208.9)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</si>
</sst>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93%</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915</v>
      </c>
      <c r="B2" s="6" t="s">
        <v>914</v>
      </c>
      <c r="C2" s="91">
        <v>1</v>
      </c>
      <c r="D2" t="s">
        <v>131</v>
      </c>
      <c r="E2" t="s">
        <v>2256</v>
      </c>
      <c r="F2" s="91">
        <v>1472.23</v>
      </c>
      <c r="G2" t="s">
        <v>2102</v>
      </c>
      <c r="H2" t="s">
        <v>194</v>
      </c>
      <c r="I2" s="91">
        <v>2022</v>
      </c>
      <c r="J2" t="s">
        <v>83</v>
      </c>
      <c r="K2" t="s">
        <v>2297</v>
      </c>
      <c r="L2" t="s">
        <v>191</v>
      </c>
      <c r="M2" t="s">
        <v>191</v>
      </c>
    </row>
    <row r="3" spans="1:13" x14ac:dyDescent="0.2">
      <c r="A3" t="s">
        <v>915</v>
      </c>
      <c r="B3" t="s">
        <v>914</v>
      </c>
      <c r="C3" s="91">
        <v>2</v>
      </c>
      <c r="D3" t="s">
        <v>132</v>
      </c>
      <c r="E3" t="s">
        <v>2257</v>
      </c>
      <c r="F3" s="91">
        <v>98.9</v>
      </c>
      <c r="G3" t="s">
        <v>80</v>
      </c>
      <c r="H3" t="s">
        <v>194</v>
      </c>
      <c r="I3" s="91">
        <v>2022</v>
      </c>
      <c r="J3" t="s">
        <v>83</v>
      </c>
      <c r="K3" t="s">
        <v>2298</v>
      </c>
      <c r="L3" t="s">
        <v>191</v>
      </c>
      <c r="M3" t="s">
        <v>191</v>
      </c>
    </row>
    <row r="4" spans="1:13" x14ac:dyDescent="0.2">
      <c r="A4" t="s">
        <v>915</v>
      </c>
      <c r="B4" t="s">
        <v>914</v>
      </c>
      <c r="C4" s="91">
        <v>3</v>
      </c>
      <c r="D4" t="s">
        <v>133</v>
      </c>
      <c r="E4" t="s">
        <v>2258</v>
      </c>
      <c r="F4" s="91">
        <v>1.1000000000000001</v>
      </c>
      <c r="G4" t="s">
        <v>80</v>
      </c>
      <c r="H4" t="s">
        <v>194</v>
      </c>
      <c r="I4" s="91">
        <v>2022</v>
      </c>
      <c r="J4" t="s">
        <v>83</v>
      </c>
      <c r="K4" t="s">
        <v>2298</v>
      </c>
      <c r="L4" t="s">
        <v>191</v>
      </c>
      <c r="M4" t="s">
        <v>191</v>
      </c>
    </row>
    <row r="5" spans="1:13" x14ac:dyDescent="0.2">
      <c r="A5" t="s">
        <v>915</v>
      </c>
      <c r="B5" t="s">
        <v>914</v>
      </c>
      <c r="C5" s="91">
        <v>4</v>
      </c>
      <c r="D5" t="s">
        <v>152</v>
      </c>
      <c r="E5" t="s">
        <v>2259</v>
      </c>
      <c r="F5" s="91">
        <v>120</v>
      </c>
      <c r="G5" t="s">
        <v>89</v>
      </c>
      <c r="H5" t="s">
        <v>81</v>
      </c>
      <c r="I5" s="91">
        <v>2022</v>
      </c>
      <c r="J5" t="s">
        <v>83</v>
      </c>
      <c r="K5" t="s">
        <v>2299</v>
      </c>
      <c r="L5" t="s">
        <v>191</v>
      </c>
      <c r="M5" t="s">
        <v>191</v>
      </c>
    </row>
    <row r="6" spans="1:13" x14ac:dyDescent="0.2">
      <c r="A6" t="s">
        <v>915</v>
      </c>
      <c r="B6" t="s">
        <v>914</v>
      </c>
      <c r="C6" s="91">
        <v>5</v>
      </c>
      <c r="D6" t="s">
        <v>153</v>
      </c>
      <c r="E6" t="s">
        <v>2260</v>
      </c>
      <c r="F6" s="91">
        <v>20</v>
      </c>
      <c r="G6" t="s">
        <v>89</v>
      </c>
      <c r="H6" t="s">
        <v>81</v>
      </c>
      <c r="I6" s="91">
        <v>2022</v>
      </c>
      <c r="J6" t="s">
        <v>83</v>
      </c>
      <c r="K6" t="s">
        <v>2299</v>
      </c>
      <c r="L6" t="s">
        <v>191</v>
      </c>
      <c r="M6" t="s">
        <v>191</v>
      </c>
    </row>
    <row r="7" spans="1:13" x14ac:dyDescent="0.2">
      <c r="A7" t="s">
        <v>915</v>
      </c>
      <c r="B7" t="s">
        <v>914</v>
      </c>
      <c r="C7" s="91">
        <v>6</v>
      </c>
      <c r="D7" t="s">
        <v>146</v>
      </c>
      <c r="E7" t="s">
        <v>2261</v>
      </c>
      <c r="F7" s="91">
        <v>63.892574310302734</v>
      </c>
      <c r="G7" t="s">
        <v>102</v>
      </c>
      <c r="H7" t="s">
        <v>5</v>
      </c>
      <c r="I7" s="91">
        <v>2022</v>
      </c>
      <c r="J7" t="s">
        <v>83</v>
      </c>
      <c r="K7" t="s">
        <v>191</v>
      </c>
      <c r="L7" t="s">
        <v>191</v>
      </c>
      <c r="M7" t="s">
        <v>191</v>
      </c>
    </row>
    <row r="8" spans="1:13" x14ac:dyDescent="0.2">
      <c r="A8" t="s">
        <v>915</v>
      </c>
      <c r="B8" t="s">
        <v>914</v>
      </c>
      <c r="C8" s="91">
        <v>7</v>
      </c>
      <c r="D8" t="s">
        <v>104</v>
      </c>
      <c r="E8" t="s">
        <v>2262</v>
      </c>
      <c r="F8" s="91">
        <v>80</v>
      </c>
      <c r="G8" t="s">
        <v>80</v>
      </c>
      <c r="H8" t="s">
        <v>81</v>
      </c>
      <c r="I8" s="91">
        <v>2022</v>
      </c>
      <c r="J8" t="s">
        <v>83</v>
      </c>
      <c r="K8" t="s">
        <v>2299</v>
      </c>
      <c r="L8" t="s">
        <v>191</v>
      </c>
      <c r="M8" t="s">
        <v>191</v>
      </c>
    </row>
    <row r="9" spans="1:13" x14ac:dyDescent="0.2">
      <c r="A9" t="s">
        <v>915</v>
      </c>
      <c r="B9" t="s">
        <v>914</v>
      </c>
      <c r="C9" s="91">
        <v>8</v>
      </c>
      <c r="D9" t="s">
        <v>145</v>
      </c>
      <c r="E9" t="s">
        <v>2263</v>
      </c>
      <c r="F9" s="91">
        <v>51.114059448242188</v>
      </c>
      <c r="G9" t="s">
        <v>102</v>
      </c>
      <c r="H9" t="s">
        <v>5</v>
      </c>
      <c r="I9" s="91">
        <v>2022</v>
      </c>
      <c r="J9" t="s">
        <v>83</v>
      </c>
      <c r="K9" t="s">
        <v>191</v>
      </c>
      <c r="L9" t="s">
        <v>191</v>
      </c>
      <c r="M9" t="s">
        <v>191</v>
      </c>
    </row>
    <row r="10" spans="1:13" x14ac:dyDescent="0.2">
      <c r="A10" t="s">
        <v>915</v>
      </c>
      <c r="B10" t="s">
        <v>914</v>
      </c>
      <c r="C10" s="91">
        <v>9</v>
      </c>
      <c r="D10" t="s">
        <v>139</v>
      </c>
      <c r="E10" t="s">
        <v>2264</v>
      </c>
      <c r="F10" s="91">
        <v>85.75</v>
      </c>
      <c r="G10" t="s">
        <v>80</v>
      </c>
      <c r="H10" t="s">
        <v>194</v>
      </c>
      <c r="I10" s="91">
        <v>2022</v>
      </c>
      <c r="J10" t="s">
        <v>83</v>
      </c>
      <c r="K10" t="s">
        <v>2298</v>
      </c>
      <c r="L10" t="s">
        <v>191</v>
      </c>
      <c r="M10" t="s">
        <v>191</v>
      </c>
    </row>
    <row r="11" spans="1:13" x14ac:dyDescent="0.2">
      <c r="A11" t="s">
        <v>915</v>
      </c>
      <c r="B11" t="s">
        <v>914</v>
      </c>
      <c r="C11" s="91">
        <v>10</v>
      </c>
      <c r="D11" t="s">
        <v>73</v>
      </c>
      <c r="E11" t="s">
        <v>2265</v>
      </c>
      <c r="F11" s="91">
        <v>14.25</v>
      </c>
      <c r="G11" t="s">
        <v>80</v>
      </c>
      <c r="H11" t="s">
        <v>194</v>
      </c>
      <c r="I11" s="91">
        <v>2022</v>
      </c>
      <c r="J11" t="s">
        <v>83</v>
      </c>
      <c r="K11" t="s">
        <v>2298</v>
      </c>
      <c r="L11" t="s">
        <v>191</v>
      </c>
      <c r="M11" t="s">
        <v>191</v>
      </c>
    </row>
    <row r="12" spans="1:13" x14ac:dyDescent="0.2">
      <c r="A12" t="s">
        <v>915</v>
      </c>
      <c r="B12" t="s">
        <v>914</v>
      </c>
      <c r="C12" s="91">
        <v>11</v>
      </c>
      <c r="D12" t="s">
        <v>74</v>
      </c>
      <c r="E12" t="s">
        <v>2266</v>
      </c>
      <c r="F12" s="91">
        <v>0</v>
      </c>
      <c r="G12" t="s">
        <v>80</v>
      </c>
      <c r="H12" t="s">
        <v>194</v>
      </c>
      <c r="I12" s="91">
        <v>2022</v>
      </c>
      <c r="J12" t="s">
        <v>83</v>
      </c>
      <c r="K12" t="s">
        <v>2298</v>
      </c>
      <c r="L12" t="s">
        <v>191</v>
      </c>
      <c r="M12" t="s">
        <v>191</v>
      </c>
    </row>
    <row r="13" spans="1:13" x14ac:dyDescent="0.2">
      <c r="A13" t="s">
        <v>915</v>
      </c>
      <c r="B13" t="s">
        <v>914</v>
      </c>
      <c r="C13" s="91">
        <v>12</v>
      </c>
      <c r="D13" t="s">
        <v>75</v>
      </c>
      <c r="E13" t="s">
        <v>2267</v>
      </c>
      <c r="F13" s="91">
        <v>0</v>
      </c>
      <c r="G13" t="s">
        <v>80</v>
      </c>
      <c r="H13" t="s">
        <v>194</v>
      </c>
      <c r="I13" s="91">
        <v>2022</v>
      </c>
      <c r="J13" t="s">
        <v>83</v>
      </c>
      <c r="K13" t="s">
        <v>2298</v>
      </c>
      <c r="L13" t="s">
        <v>191</v>
      </c>
      <c r="M13" t="s">
        <v>191</v>
      </c>
    </row>
    <row r="14" spans="1:13" x14ac:dyDescent="0.2">
      <c r="A14" t="s">
        <v>915</v>
      </c>
      <c r="B14" t="s">
        <v>914</v>
      </c>
      <c r="C14" s="91">
        <v>13</v>
      </c>
      <c r="D14" t="s">
        <v>76</v>
      </c>
      <c r="E14" t="s">
        <v>2268</v>
      </c>
      <c r="F14" s="91">
        <v>0</v>
      </c>
      <c r="G14" t="s">
        <v>80</v>
      </c>
      <c r="H14" t="s">
        <v>194</v>
      </c>
      <c r="I14" s="91">
        <v>2022</v>
      </c>
      <c r="J14" t="s">
        <v>83</v>
      </c>
      <c r="K14" t="s">
        <v>2298</v>
      </c>
      <c r="L14" t="s">
        <v>191</v>
      </c>
      <c r="M14" t="s">
        <v>191</v>
      </c>
    </row>
    <row r="15" spans="1:13" x14ac:dyDescent="0.2">
      <c r="A15" t="s">
        <v>915</v>
      </c>
      <c r="B15" t="s">
        <v>914</v>
      </c>
      <c r="C15" s="91">
        <v>14</v>
      </c>
      <c r="D15" t="s">
        <v>140</v>
      </c>
      <c r="E15" t="s">
        <v>2269</v>
      </c>
      <c r="F15" s="91">
        <v>44.235801696777344</v>
      </c>
      <c r="G15" t="s">
        <v>102</v>
      </c>
      <c r="H15" t="s">
        <v>5</v>
      </c>
      <c r="I15" s="91">
        <v>2022</v>
      </c>
      <c r="J15" t="s">
        <v>83</v>
      </c>
      <c r="K15" t="s">
        <v>191</v>
      </c>
      <c r="L15" t="s">
        <v>191</v>
      </c>
      <c r="M15" t="s">
        <v>191</v>
      </c>
    </row>
    <row r="16" spans="1:13" x14ac:dyDescent="0.2">
      <c r="A16" t="s">
        <v>915</v>
      </c>
      <c r="B16" t="s">
        <v>914</v>
      </c>
      <c r="C16" s="91">
        <v>15</v>
      </c>
      <c r="D16" t="s">
        <v>141</v>
      </c>
      <c r="E16" t="s">
        <v>2270</v>
      </c>
      <c r="F16" s="91">
        <v>6.8782587051391602</v>
      </c>
      <c r="G16" t="s">
        <v>102</v>
      </c>
      <c r="H16" t="s">
        <v>5</v>
      </c>
      <c r="I16" s="91">
        <v>2022</v>
      </c>
      <c r="J16" t="s">
        <v>83</v>
      </c>
      <c r="K16" t="s">
        <v>191</v>
      </c>
      <c r="L16" t="s">
        <v>191</v>
      </c>
      <c r="M16" t="s">
        <v>191</v>
      </c>
    </row>
    <row r="17" spans="1:13" x14ac:dyDescent="0.2">
      <c r="A17" t="s">
        <v>915</v>
      </c>
      <c r="B17" t="s">
        <v>914</v>
      </c>
      <c r="C17" s="91">
        <v>16</v>
      </c>
      <c r="D17" t="s">
        <v>142</v>
      </c>
      <c r="E17" t="s">
        <v>2271</v>
      </c>
      <c r="F17" s="91">
        <v>0</v>
      </c>
      <c r="G17" t="s">
        <v>102</v>
      </c>
      <c r="H17" t="s">
        <v>5</v>
      </c>
      <c r="I17" s="91">
        <v>2022</v>
      </c>
      <c r="J17" t="s">
        <v>83</v>
      </c>
      <c r="K17" t="s">
        <v>191</v>
      </c>
      <c r="L17" t="s">
        <v>191</v>
      </c>
      <c r="M17" t="s">
        <v>191</v>
      </c>
    </row>
    <row r="18" spans="1:13" x14ac:dyDescent="0.2">
      <c r="A18" t="s">
        <v>915</v>
      </c>
      <c r="B18" t="s">
        <v>914</v>
      </c>
      <c r="C18" s="91">
        <v>17</v>
      </c>
      <c r="D18" t="s">
        <v>143</v>
      </c>
      <c r="E18" t="s">
        <v>2272</v>
      </c>
      <c r="F18" s="91">
        <v>0</v>
      </c>
      <c r="G18" t="s">
        <v>102</v>
      </c>
      <c r="H18" t="s">
        <v>5</v>
      </c>
      <c r="I18" s="91">
        <v>2022</v>
      </c>
      <c r="J18" t="s">
        <v>83</v>
      </c>
      <c r="K18" t="s">
        <v>191</v>
      </c>
      <c r="L18" t="s">
        <v>191</v>
      </c>
      <c r="M18" t="s">
        <v>191</v>
      </c>
    </row>
    <row r="19" spans="1:13" x14ac:dyDescent="0.2">
      <c r="A19" t="s">
        <v>915</v>
      </c>
      <c r="B19" t="s">
        <v>914</v>
      </c>
      <c r="C19" s="91">
        <v>18</v>
      </c>
      <c r="D19" t="s">
        <v>144</v>
      </c>
      <c r="E19" t="s">
        <v>2273</v>
      </c>
      <c r="F19" s="91">
        <v>0</v>
      </c>
      <c r="G19" t="s">
        <v>102</v>
      </c>
      <c r="H19" t="s">
        <v>5</v>
      </c>
      <c r="I19" s="91">
        <v>2022</v>
      </c>
      <c r="J19" t="s">
        <v>83</v>
      </c>
      <c r="K19" t="s">
        <v>191</v>
      </c>
      <c r="L19" t="s">
        <v>191</v>
      </c>
      <c r="M19" t="s">
        <v>191</v>
      </c>
    </row>
    <row r="20" spans="1:13" x14ac:dyDescent="0.2">
      <c r="A20" t="s">
        <v>915</v>
      </c>
      <c r="B20" t="s">
        <v>914</v>
      </c>
      <c r="C20" s="91">
        <v>19</v>
      </c>
      <c r="D20" t="s">
        <v>2103</v>
      </c>
      <c r="E20" t="s">
        <v>2274</v>
      </c>
      <c r="F20" s="91">
        <v>100</v>
      </c>
      <c r="G20" t="s">
        <v>80</v>
      </c>
      <c r="H20" t="s">
        <v>2296</v>
      </c>
      <c r="I20" s="91">
        <v>2017</v>
      </c>
      <c r="J20" t="s">
        <v>83</v>
      </c>
      <c r="K20" t="s">
        <v>2300</v>
      </c>
      <c r="L20" t="s">
        <v>2302</v>
      </c>
      <c r="M20" t="s">
        <v>2304</v>
      </c>
    </row>
    <row r="21" spans="1:13" x14ac:dyDescent="0.2">
      <c r="A21" t="s">
        <v>915</v>
      </c>
      <c r="B21" t="s">
        <v>914</v>
      </c>
      <c r="C21" s="91">
        <v>20</v>
      </c>
      <c r="D21" t="s">
        <v>2104</v>
      </c>
      <c r="E21" t="s">
        <v>2275</v>
      </c>
      <c r="F21" s="91"/>
      <c r="G21" t="s">
        <v>191</v>
      </c>
      <c r="H21" t="s">
        <v>191</v>
      </c>
      <c r="I21" s="91"/>
      <c r="J21" t="s">
        <v>84</v>
      </c>
      <c r="K21" t="s">
        <v>191</v>
      </c>
      <c r="L21" t="s">
        <v>191</v>
      </c>
      <c r="M21" t="s">
        <v>191</v>
      </c>
    </row>
    <row r="22" spans="1:13" x14ac:dyDescent="0.2">
      <c r="A22" t="s">
        <v>915</v>
      </c>
      <c r="B22" t="s">
        <v>914</v>
      </c>
      <c r="C22" s="91">
        <v>21</v>
      </c>
      <c r="D22" t="s">
        <v>2105</v>
      </c>
      <c r="E22" t="s">
        <v>2276</v>
      </c>
      <c r="F22" s="91">
        <v>100</v>
      </c>
      <c r="G22" t="s">
        <v>80</v>
      </c>
      <c r="H22" t="s">
        <v>2296</v>
      </c>
      <c r="I22" s="91">
        <v>2017</v>
      </c>
      <c r="J22" t="s">
        <v>83</v>
      </c>
      <c r="K22" t="s">
        <v>2300</v>
      </c>
      <c r="L22" t="s">
        <v>2302</v>
      </c>
      <c r="M22" t="s">
        <v>2305</v>
      </c>
    </row>
    <row r="23" spans="1:13" x14ac:dyDescent="0.2">
      <c r="A23" t="s">
        <v>915</v>
      </c>
      <c r="B23" t="s">
        <v>914</v>
      </c>
      <c r="C23" s="91">
        <v>22</v>
      </c>
      <c r="D23" t="s">
        <v>2126</v>
      </c>
      <c r="E23" t="s">
        <v>2277</v>
      </c>
      <c r="F23" s="91">
        <v>50</v>
      </c>
      <c r="G23" t="s">
        <v>80</v>
      </c>
      <c r="H23" t="s">
        <v>81</v>
      </c>
      <c r="I23" s="91">
        <v>2022</v>
      </c>
      <c r="J23" t="s">
        <v>83</v>
      </c>
      <c r="K23" t="s">
        <v>2299</v>
      </c>
      <c r="L23" t="s">
        <v>191</v>
      </c>
      <c r="M23" t="s">
        <v>191</v>
      </c>
    </row>
    <row r="24" spans="1:13" x14ac:dyDescent="0.2">
      <c r="A24" t="s">
        <v>915</v>
      </c>
      <c r="B24" t="s">
        <v>914</v>
      </c>
      <c r="C24" s="91">
        <v>23</v>
      </c>
      <c r="D24" t="s">
        <v>180</v>
      </c>
      <c r="E24" t="s">
        <v>2278</v>
      </c>
      <c r="F24" s="91">
        <v>0</v>
      </c>
      <c r="G24" t="s">
        <v>80</v>
      </c>
      <c r="H24" t="s">
        <v>81</v>
      </c>
      <c r="I24" s="91">
        <v>2022</v>
      </c>
      <c r="J24" t="s">
        <v>83</v>
      </c>
      <c r="K24" t="s">
        <v>2299</v>
      </c>
      <c r="L24" t="s">
        <v>191</v>
      </c>
      <c r="M24" t="s">
        <v>191</v>
      </c>
    </row>
    <row r="25" spans="1:13" x14ac:dyDescent="0.2">
      <c r="A25" t="s">
        <v>915</v>
      </c>
      <c r="B25" t="s">
        <v>914</v>
      </c>
      <c r="C25" s="91">
        <v>24</v>
      </c>
      <c r="D25" t="s">
        <v>2127</v>
      </c>
      <c r="E25" t="s">
        <v>2279</v>
      </c>
      <c r="F25" s="91">
        <v>0</v>
      </c>
      <c r="G25" t="s">
        <v>80</v>
      </c>
      <c r="H25" t="s">
        <v>81</v>
      </c>
      <c r="I25" s="91">
        <v>2022</v>
      </c>
      <c r="J25" t="s">
        <v>83</v>
      </c>
      <c r="K25" t="s">
        <v>2299</v>
      </c>
      <c r="L25" t="s">
        <v>191</v>
      </c>
      <c r="M25" t="s">
        <v>191</v>
      </c>
    </row>
    <row r="26" spans="1:13" x14ac:dyDescent="0.2">
      <c r="A26" t="s">
        <v>915</v>
      </c>
      <c r="B26" t="s">
        <v>914</v>
      </c>
      <c r="C26" s="91">
        <v>25</v>
      </c>
      <c r="D26" t="s">
        <v>179</v>
      </c>
      <c r="E26" t="s">
        <v>2280</v>
      </c>
      <c r="F26" s="91">
        <v>100</v>
      </c>
      <c r="G26" t="s">
        <v>80</v>
      </c>
      <c r="H26" t="s">
        <v>2296</v>
      </c>
      <c r="I26" s="91">
        <v>2017</v>
      </c>
      <c r="J26" t="s">
        <v>83</v>
      </c>
      <c r="K26" t="s">
        <v>2301</v>
      </c>
      <c r="L26" t="s">
        <v>2303</v>
      </c>
      <c r="M26" t="s">
        <v>191</v>
      </c>
    </row>
    <row r="27" spans="1:13" x14ac:dyDescent="0.2">
      <c r="A27" t="s">
        <v>915</v>
      </c>
      <c r="B27" t="s">
        <v>914</v>
      </c>
      <c r="C27" s="91">
        <v>26</v>
      </c>
      <c r="D27" t="s">
        <v>186</v>
      </c>
      <c r="E27" t="s">
        <v>2281</v>
      </c>
      <c r="F27" s="91">
        <v>0</v>
      </c>
      <c r="G27" t="s">
        <v>80</v>
      </c>
      <c r="H27" t="s">
        <v>81</v>
      </c>
      <c r="I27" s="91">
        <v>2022</v>
      </c>
      <c r="J27" t="s">
        <v>83</v>
      </c>
      <c r="K27" t="s">
        <v>191</v>
      </c>
      <c r="L27" t="s">
        <v>191</v>
      </c>
      <c r="M27" t="s">
        <v>2306</v>
      </c>
    </row>
    <row r="28" spans="1:13" x14ac:dyDescent="0.2">
      <c r="A28" t="s">
        <v>915</v>
      </c>
      <c r="B28" t="s">
        <v>914</v>
      </c>
      <c r="C28" s="91">
        <v>27</v>
      </c>
      <c r="D28" t="s">
        <v>2106</v>
      </c>
      <c r="E28" t="s">
        <v>2282</v>
      </c>
      <c r="F28" s="91">
        <v>100</v>
      </c>
      <c r="G28" t="s">
        <v>80</v>
      </c>
      <c r="H28" t="s">
        <v>81</v>
      </c>
      <c r="I28" s="91">
        <v>2022</v>
      </c>
      <c r="J28" t="s">
        <v>83</v>
      </c>
      <c r="K28" t="s">
        <v>2299</v>
      </c>
      <c r="L28" t="s">
        <v>191</v>
      </c>
      <c r="M28" t="s">
        <v>191</v>
      </c>
    </row>
    <row r="29" spans="1:13" x14ac:dyDescent="0.2">
      <c r="A29" t="s">
        <v>915</v>
      </c>
      <c r="B29" t="s">
        <v>914</v>
      </c>
      <c r="C29" s="91">
        <v>28</v>
      </c>
      <c r="D29" t="s">
        <v>2107</v>
      </c>
      <c r="E29" t="s">
        <v>2283</v>
      </c>
      <c r="F29" s="91">
        <v>100</v>
      </c>
      <c r="G29" t="s">
        <v>80</v>
      </c>
      <c r="H29" t="s">
        <v>81</v>
      </c>
      <c r="I29" s="91">
        <v>2022</v>
      </c>
      <c r="J29" t="s">
        <v>83</v>
      </c>
      <c r="K29" t="s">
        <v>191</v>
      </c>
      <c r="L29" t="s">
        <v>191</v>
      </c>
      <c r="M29" t="s">
        <v>2307</v>
      </c>
    </row>
    <row r="30" spans="1:13" x14ac:dyDescent="0.2">
      <c r="A30" t="s">
        <v>915</v>
      </c>
      <c r="B30" t="s">
        <v>914</v>
      </c>
      <c r="C30" s="91">
        <v>29</v>
      </c>
      <c r="D30" t="s">
        <v>2108</v>
      </c>
      <c r="E30" t="s">
        <v>2284</v>
      </c>
      <c r="F30" s="91">
        <v>44.235801696777344</v>
      </c>
      <c r="G30" t="s">
        <v>102</v>
      </c>
      <c r="H30" t="s">
        <v>5</v>
      </c>
      <c r="I30" s="91">
        <v>2022</v>
      </c>
      <c r="J30" t="s">
        <v>83</v>
      </c>
      <c r="K30" t="s">
        <v>191</v>
      </c>
      <c r="L30" t="s">
        <v>191</v>
      </c>
      <c r="M30" t="s">
        <v>191</v>
      </c>
    </row>
    <row r="31" spans="1:13" x14ac:dyDescent="0.2">
      <c r="A31" t="s">
        <v>915</v>
      </c>
      <c r="B31" t="s">
        <v>914</v>
      </c>
      <c r="C31" s="91">
        <v>30</v>
      </c>
      <c r="D31" t="s">
        <v>2109</v>
      </c>
      <c r="E31" t="s">
        <v>2285</v>
      </c>
      <c r="F31" s="91">
        <v>3.4391293525695801</v>
      </c>
      <c r="G31" t="s">
        <v>102</v>
      </c>
      <c r="H31" t="s">
        <v>5</v>
      </c>
      <c r="I31" s="91">
        <v>2022</v>
      </c>
      <c r="J31" t="s">
        <v>83</v>
      </c>
      <c r="K31" t="s">
        <v>191</v>
      </c>
      <c r="L31" t="s">
        <v>191</v>
      </c>
      <c r="M31" t="s">
        <v>191</v>
      </c>
    </row>
    <row r="32" spans="1:13" x14ac:dyDescent="0.2">
      <c r="A32" t="s">
        <v>915</v>
      </c>
      <c r="B32" t="s">
        <v>914</v>
      </c>
      <c r="C32" s="91">
        <v>31</v>
      </c>
      <c r="D32" t="s">
        <v>2110</v>
      </c>
      <c r="E32" t="s">
        <v>2286</v>
      </c>
      <c r="F32" s="91">
        <v>0</v>
      </c>
      <c r="G32" t="s">
        <v>102</v>
      </c>
      <c r="H32" t="s">
        <v>5</v>
      </c>
      <c r="I32" s="91">
        <v>2022</v>
      </c>
      <c r="J32" t="s">
        <v>83</v>
      </c>
      <c r="K32" t="s">
        <v>191</v>
      </c>
      <c r="L32" t="s">
        <v>191</v>
      </c>
      <c r="M32" t="s">
        <v>191</v>
      </c>
    </row>
    <row r="33" spans="1:13" x14ac:dyDescent="0.2">
      <c r="A33" t="s">
        <v>915</v>
      </c>
      <c r="B33" t="s">
        <v>914</v>
      </c>
      <c r="C33" s="91">
        <v>32</v>
      </c>
      <c r="D33" t="s">
        <v>2111</v>
      </c>
      <c r="E33" t="s">
        <v>2287</v>
      </c>
      <c r="F33" s="91">
        <v>47.674930572509766</v>
      </c>
      <c r="G33" t="s">
        <v>102</v>
      </c>
      <c r="H33" t="s">
        <v>5</v>
      </c>
      <c r="I33" s="91">
        <v>2022</v>
      </c>
      <c r="J33" t="s">
        <v>83</v>
      </c>
      <c r="K33" t="s">
        <v>191</v>
      </c>
      <c r="L33" t="s">
        <v>191</v>
      </c>
      <c r="M33" t="s">
        <v>191</v>
      </c>
    </row>
    <row r="34" spans="1:13" x14ac:dyDescent="0.2">
      <c r="A34" t="s">
        <v>915</v>
      </c>
      <c r="B34" t="s">
        <v>914</v>
      </c>
      <c r="C34" s="91">
        <v>33</v>
      </c>
      <c r="D34" t="s">
        <v>168</v>
      </c>
      <c r="E34" t="s">
        <v>2288</v>
      </c>
      <c r="F34" s="91">
        <v>44.235801696777344</v>
      </c>
      <c r="G34" t="s">
        <v>102</v>
      </c>
      <c r="H34" t="s">
        <v>5</v>
      </c>
      <c r="I34" s="91">
        <v>2022</v>
      </c>
      <c r="J34" t="s">
        <v>83</v>
      </c>
      <c r="K34" t="s">
        <v>191</v>
      </c>
      <c r="L34" t="s">
        <v>191</v>
      </c>
      <c r="M34" t="s">
        <v>191</v>
      </c>
    </row>
    <row r="35" spans="1:13" x14ac:dyDescent="0.2">
      <c r="A35" t="s">
        <v>915</v>
      </c>
      <c r="B35" t="s">
        <v>914</v>
      </c>
      <c r="C35" s="91">
        <v>34</v>
      </c>
      <c r="D35" t="s">
        <v>2112</v>
      </c>
      <c r="E35" t="s">
        <v>2289</v>
      </c>
      <c r="F35" s="91">
        <v>3.4391293525695801</v>
      </c>
      <c r="G35" t="s">
        <v>102</v>
      </c>
      <c r="H35" t="s">
        <v>5</v>
      </c>
      <c r="I35" s="91">
        <v>2022</v>
      </c>
      <c r="J35" t="s">
        <v>83</v>
      </c>
      <c r="K35" t="s">
        <v>191</v>
      </c>
      <c r="L35" t="s">
        <v>191</v>
      </c>
      <c r="M35" t="s">
        <v>191</v>
      </c>
    </row>
    <row r="36" spans="1:13" x14ac:dyDescent="0.2">
      <c r="A36" t="s">
        <v>915</v>
      </c>
      <c r="B36" t="s">
        <v>914</v>
      </c>
      <c r="C36" s="91">
        <v>35</v>
      </c>
      <c r="D36" t="s">
        <v>2113</v>
      </c>
      <c r="E36" t="s">
        <v>2290</v>
      </c>
      <c r="F36" s="91">
        <v>0</v>
      </c>
      <c r="G36" t="s">
        <v>102</v>
      </c>
      <c r="H36" t="s">
        <v>5</v>
      </c>
      <c r="I36" s="91">
        <v>2022</v>
      </c>
      <c r="J36" t="s">
        <v>83</v>
      </c>
      <c r="K36" t="s">
        <v>191</v>
      </c>
      <c r="L36" t="s">
        <v>191</v>
      </c>
      <c r="M36" t="s">
        <v>191</v>
      </c>
    </row>
    <row r="37" spans="1:13" x14ac:dyDescent="0.2">
      <c r="A37" t="s">
        <v>915</v>
      </c>
      <c r="B37" t="s">
        <v>914</v>
      </c>
      <c r="C37" s="91">
        <v>36</v>
      </c>
      <c r="D37" t="s">
        <v>170</v>
      </c>
      <c r="E37" t="s">
        <v>2291</v>
      </c>
      <c r="F37" s="91">
        <v>47.674930572509766</v>
      </c>
      <c r="G37" t="s">
        <v>102</v>
      </c>
      <c r="H37" t="s">
        <v>5</v>
      </c>
      <c r="I37" s="91">
        <v>2022</v>
      </c>
      <c r="J37" t="s">
        <v>83</v>
      </c>
      <c r="K37" t="s">
        <v>191</v>
      </c>
      <c r="L37" t="s">
        <v>191</v>
      </c>
      <c r="M37" t="s">
        <v>191</v>
      </c>
    </row>
    <row r="38" spans="1:13" x14ac:dyDescent="0.2">
      <c r="A38" t="s">
        <v>915</v>
      </c>
      <c r="B38" t="s">
        <v>914</v>
      </c>
      <c r="C38" s="91">
        <v>37</v>
      </c>
      <c r="D38" t="s">
        <v>169</v>
      </c>
      <c r="E38" t="s">
        <v>2292</v>
      </c>
      <c r="F38" s="91">
        <v>86.543312072753906</v>
      </c>
      <c r="G38" t="s">
        <v>80</v>
      </c>
      <c r="H38" t="s">
        <v>5</v>
      </c>
      <c r="I38" s="91">
        <v>2022</v>
      </c>
      <c r="J38" t="s">
        <v>83</v>
      </c>
      <c r="K38" t="s">
        <v>191</v>
      </c>
      <c r="L38" t="s">
        <v>191</v>
      </c>
      <c r="M38" t="s">
        <v>191</v>
      </c>
    </row>
    <row r="39" spans="1:13" x14ac:dyDescent="0.2">
      <c r="A39" t="s">
        <v>915</v>
      </c>
      <c r="B39" t="s">
        <v>914</v>
      </c>
      <c r="C39" s="91">
        <v>38</v>
      </c>
      <c r="D39" t="s">
        <v>187</v>
      </c>
      <c r="E39" t="s">
        <v>2293</v>
      </c>
      <c r="F39" s="91">
        <v>6.7283430099487305</v>
      </c>
      <c r="G39" t="s">
        <v>80</v>
      </c>
      <c r="H39" t="s">
        <v>5</v>
      </c>
      <c r="I39" s="91">
        <v>2022</v>
      </c>
      <c r="J39" t="s">
        <v>83</v>
      </c>
      <c r="K39" t="s">
        <v>191</v>
      </c>
      <c r="L39" t="s">
        <v>191</v>
      </c>
      <c r="M39" t="s">
        <v>191</v>
      </c>
    </row>
    <row r="40" spans="1:13" x14ac:dyDescent="0.2">
      <c r="A40" t="s">
        <v>915</v>
      </c>
      <c r="B40" t="s">
        <v>914</v>
      </c>
      <c r="C40" s="91">
        <v>39</v>
      </c>
      <c r="D40" t="s">
        <v>188</v>
      </c>
      <c r="E40" t="s">
        <v>2294</v>
      </c>
      <c r="F40" s="91">
        <v>0</v>
      </c>
      <c r="G40" t="s">
        <v>80</v>
      </c>
      <c r="H40" t="s">
        <v>5</v>
      </c>
      <c r="I40" s="91">
        <v>2022</v>
      </c>
      <c r="J40" t="s">
        <v>83</v>
      </c>
      <c r="K40" t="s">
        <v>191</v>
      </c>
      <c r="L40" t="s">
        <v>191</v>
      </c>
      <c r="M40" t="s">
        <v>191</v>
      </c>
    </row>
    <row r="41" spans="1:13" x14ac:dyDescent="0.2">
      <c r="A41" t="s">
        <v>915</v>
      </c>
      <c r="B41" t="s">
        <v>914</v>
      </c>
      <c r="C41" s="91">
        <v>40</v>
      </c>
      <c r="D41" t="s">
        <v>79</v>
      </c>
      <c r="E41" t="s">
        <v>2295</v>
      </c>
      <c r="F41" s="91">
        <v>93.271652221679688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19"/>
  <sheetViews>
    <sheetView tabSelected="1" zoomScaleNormal="100" workbookViewId="0">
      <selection activeCell="A2" sqref="A2:XFD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915</v>
      </c>
      <c r="B2" t="s">
        <v>914</v>
      </c>
      <c r="C2" s="91">
        <v>19</v>
      </c>
      <c r="D2" t="s">
        <v>2103</v>
      </c>
      <c r="E2" t="s">
        <v>2274</v>
      </c>
      <c r="F2" s="91">
        <v>100</v>
      </c>
      <c r="G2" t="s">
        <v>80</v>
      </c>
      <c r="H2" t="s">
        <v>2296</v>
      </c>
      <c r="I2" s="91">
        <v>2017</v>
      </c>
      <c r="J2" t="s">
        <v>83</v>
      </c>
      <c r="K2" t="s">
        <v>191</v>
      </c>
      <c r="L2" t="s">
        <v>2300</v>
      </c>
      <c r="M2" t="s">
        <v>2302</v>
      </c>
      <c r="N2" t="s">
        <v>2304</v>
      </c>
    </row>
    <row r="3" spans="1:14" x14ac:dyDescent="0.2">
      <c r="A3" t="s">
        <v>915</v>
      </c>
      <c r="B3" t="s">
        <v>914</v>
      </c>
      <c r="C3" s="91">
        <v>21</v>
      </c>
      <c r="D3" t="s">
        <v>2105</v>
      </c>
      <c r="E3" t="s">
        <v>2276</v>
      </c>
      <c r="F3" s="91">
        <v>100</v>
      </c>
      <c r="G3" t="s">
        <v>80</v>
      </c>
      <c r="H3" t="s">
        <v>2296</v>
      </c>
      <c r="I3" s="91">
        <v>2017</v>
      </c>
      <c r="J3" t="s">
        <v>83</v>
      </c>
      <c r="K3" t="s">
        <v>191</v>
      </c>
      <c r="L3" t="s">
        <v>2300</v>
      </c>
      <c r="M3" t="s">
        <v>2302</v>
      </c>
      <c r="N3" t="s">
        <v>2305</v>
      </c>
    </row>
    <row r="4" spans="1:14" x14ac:dyDescent="0.2">
      <c r="A4" t="s">
        <v>915</v>
      </c>
      <c r="B4" t="s">
        <v>914</v>
      </c>
      <c r="C4" s="91">
        <v>25</v>
      </c>
      <c r="D4" t="s">
        <v>179</v>
      </c>
      <c r="E4" t="s">
        <v>2280</v>
      </c>
      <c r="F4" s="91">
        <v>100</v>
      </c>
      <c r="G4" t="s">
        <v>80</v>
      </c>
      <c r="H4" t="s">
        <v>2296</v>
      </c>
      <c r="I4" s="91">
        <v>2017</v>
      </c>
      <c r="J4" t="s">
        <v>83</v>
      </c>
      <c r="K4" t="s">
        <v>191</v>
      </c>
      <c r="L4" t="s">
        <v>2301</v>
      </c>
      <c r="M4" t="s">
        <v>2303</v>
      </c>
      <c r="N4" t="s">
        <v>191</v>
      </c>
    </row>
    <row r="5" spans="1:14" x14ac:dyDescent="0.2">
      <c r="A5" t="s">
        <v>915</v>
      </c>
      <c r="B5" t="s">
        <v>914</v>
      </c>
      <c r="C5" s="91">
        <v>8</v>
      </c>
      <c r="D5" t="s">
        <v>145</v>
      </c>
      <c r="E5" t="s">
        <v>2263</v>
      </c>
      <c r="F5" s="91">
        <v>116.6905059814453</v>
      </c>
      <c r="G5" t="s">
        <v>102</v>
      </c>
      <c r="H5" t="s">
        <v>2296</v>
      </c>
      <c r="I5" s="91">
        <v>2012</v>
      </c>
      <c r="J5" t="s">
        <v>84</v>
      </c>
      <c r="K5" t="s">
        <v>181</v>
      </c>
      <c r="L5" t="s">
        <v>2308</v>
      </c>
      <c r="M5" t="s">
        <v>2313</v>
      </c>
      <c r="N5" t="s">
        <v>2318</v>
      </c>
    </row>
    <row r="6" spans="1:14" x14ac:dyDescent="0.2">
      <c r="A6" t="s">
        <v>915</v>
      </c>
      <c r="B6" t="s">
        <v>914</v>
      </c>
      <c r="C6" s="91">
        <v>8</v>
      </c>
      <c r="D6" t="s">
        <v>145</v>
      </c>
      <c r="E6" t="s">
        <v>2263</v>
      </c>
      <c r="F6" s="91">
        <v>123.91750335693359</v>
      </c>
      <c r="G6" t="s">
        <v>102</v>
      </c>
      <c r="H6" t="s">
        <v>2296</v>
      </c>
      <c r="I6" s="91">
        <v>2013</v>
      </c>
      <c r="J6" t="s">
        <v>84</v>
      </c>
      <c r="K6" t="s">
        <v>181</v>
      </c>
      <c r="L6" t="s">
        <v>2309</v>
      </c>
      <c r="M6" t="s">
        <v>2314</v>
      </c>
      <c r="N6" t="s">
        <v>2318</v>
      </c>
    </row>
    <row r="7" spans="1:14" x14ac:dyDescent="0.2">
      <c r="A7" t="s">
        <v>915</v>
      </c>
      <c r="B7" t="s">
        <v>914</v>
      </c>
      <c r="C7" s="91">
        <v>8</v>
      </c>
      <c r="D7" t="s">
        <v>145</v>
      </c>
      <c r="E7" t="s">
        <v>2263</v>
      </c>
      <c r="F7" s="91">
        <v>148.73750305175781</v>
      </c>
      <c r="G7" t="s">
        <v>102</v>
      </c>
      <c r="H7" t="s">
        <v>2296</v>
      </c>
      <c r="I7" s="91">
        <v>2014</v>
      </c>
      <c r="J7" t="s">
        <v>84</v>
      </c>
      <c r="K7" t="s">
        <v>181</v>
      </c>
      <c r="L7" t="s">
        <v>2310</v>
      </c>
      <c r="M7" t="s">
        <v>2315</v>
      </c>
      <c r="N7" t="s">
        <v>2318</v>
      </c>
    </row>
    <row r="8" spans="1:14" x14ac:dyDescent="0.2">
      <c r="A8" t="s">
        <v>915</v>
      </c>
      <c r="B8" t="s">
        <v>914</v>
      </c>
      <c r="C8" s="91">
        <v>8</v>
      </c>
      <c r="D8" t="s">
        <v>145</v>
      </c>
      <c r="E8" t="s">
        <v>2263</v>
      </c>
      <c r="F8" s="91">
        <v>145.78099060058591</v>
      </c>
      <c r="G8" t="s">
        <v>102</v>
      </c>
      <c r="H8" t="s">
        <v>2296</v>
      </c>
      <c r="I8" s="91">
        <v>2015</v>
      </c>
      <c r="J8" t="s">
        <v>84</v>
      </c>
      <c r="K8" t="s">
        <v>181</v>
      </c>
      <c r="L8" t="s">
        <v>2311</v>
      </c>
      <c r="M8" t="s">
        <v>2316</v>
      </c>
      <c r="N8" t="s">
        <v>2318</v>
      </c>
    </row>
    <row r="9" spans="1:14" x14ac:dyDescent="0.2">
      <c r="A9" t="s">
        <v>915</v>
      </c>
      <c r="B9" t="s">
        <v>914</v>
      </c>
      <c r="C9" s="91">
        <v>8</v>
      </c>
      <c r="D9" t="s">
        <v>145</v>
      </c>
      <c r="E9" t="s">
        <v>2263</v>
      </c>
      <c r="F9" s="91">
        <v>148.59150695800781</v>
      </c>
      <c r="G9" t="s">
        <v>102</v>
      </c>
      <c r="H9" t="s">
        <v>2296</v>
      </c>
      <c r="I9" s="91">
        <v>2016</v>
      </c>
      <c r="J9" t="s">
        <v>84</v>
      </c>
      <c r="K9" t="s">
        <v>181</v>
      </c>
      <c r="L9" t="s">
        <v>2312</v>
      </c>
      <c r="M9" t="s">
        <v>2317</v>
      </c>
      <c r="N9" t="s">
        <v>2318</v>
      </c>
    </row>
    <row r="10" spans="1:14" x14ac:dyDescent="0.2">
      <c r="A10" t="s">
        <v>915</v>
      </c>
      <c r="B10" t="s">
        <v>914</v>
      </c>
      <c r="C10" s="91">
        <v>19</v>
      </c>
      <c r="D10" t="s">
        <v>2103</v>
      </c>
      <c r="E10" t="s">
        <v>2274</v>
      </c>
      <c r="F10" s="91">
        <v>100</v>
      </c>
      <c r="G10" t="s">
        <v>80</v>
      </c>
      <c r="H10" t="s">
        <v>2296</v>
      </c>
      <c r="I10" s="91">
        <v>2012</v>
      </c>
      <c r="J10" t="s">
        <v>84</v>
      </c>
      <c r="K10" t="s">
        <v>181</v>
      </c>
      <c r="L10" t="s">
        <v>2308</v>
      </c>
      <c r="M10" t="s">
        <v>2313</v>
      </c>
      <c r="N10" t="s">
        <v>2319</v>
      </c>
    </row>
    <row r="11" spans="1:14" x14ac:dyDescent="0.2">
      <c r="A11" t="s">
        <v>915</v>
      </c>
      <c r="B11" t="s">
        <v>914</v>
      </c>
      <c r="C11" s="91">
        <v>19</v>
      </c>
      <c r="D11" t="s">
        <v>2103</v>
      </c>
      <c r="E11" t="s">
        <v>2274</v>
      </c>
      <c r="F11" s="91">
        <v>100</v>
      </c>
      <c r="G11" t="s">
        <v>80</v>
      </c>
      <c r="H11" t="s">
        <v>2296</v>
      </c>
      <c r="I11" s="91">
        <v>2013</v>
      </c>
      <c r="J11" t="s">
        <v>84</v>
      </c>
      <c r="K11" t="s">
        <v>181</v>
      </c>
      <c r="L11" t="s">
        <v>2309</v>
      </c>
      <c r="M11" t="s">
        <v>2314</v>
      </c>
      <c r="N11" t="s">
        <v>2319</v>
      </c>
    </row>
    <row r="12" spans="1:14" x14ac:dyDescent="0.2">
      <c r="A12" t="s">
        <v>915</v>
      </c>
      <c r="B12" t="s">
        <v>914</v>
      </c>
      <c r="C12" s="91">
        <v>19</v>
      </c>
      <c r="D12" t="s">
        <v>2103</v>
      </c>
      <c r="E12" t="s">
        <v>2274</v>
      </c>
      <c r="F12" s="91">
        <v>100</v>
      </c>
      <c r="G12" t="s">
        <v>80</v>
      </c>
      <c r="H12" t="s">
        <v>2296</v>
      </c>
      <c r="I12" s="91">
        <v>2014</v>
      </c>
      <c r="J12" t="s">
        <v>84</v>
      </c>
      <c r="K12" t="s">
        <v>181</v>
      </c>
      <c r="L12" t="s">
        <v>2310</v>
      </c>
      <c r="M12" t="s">
        <v>2315</v>
      </c>
      <c r="N12" t="s">
        <v>2320</v>
      </c>
    </row>
    <row r="13" spans="1:14" x14ac:dyDescent="0.2">
      <c r="A13" t="s">
        <v>915</v>
      </c>
      <c r="B13" t="s">
        <v>914</v>
      </c>
      <c r="C13" s="91">
        <v>19</v>
      </c>
      <c r="D13" t="s">
        <v>2103</v>
      </c>
      <c r="E13" t="s">
        <v>2274</v>
      </c>
      <c r="F13" s="91">
        <v>100</v>
      </c>
      <c r="G13" t="s">
        <v>80</v>
      </c>
      <c r="H13" t="s">
        <v>2296</v>
      </c>
      <c r="I13" s="91">
        <v>2015</v>
      </c>
      <c r="J13" t="s">
        <v>84</v>
      </c>
      <c r="K13" t="s">
        <v>181</v>
      </c>
      <c r="L13" t="s">
        <v>2311</v>
      </c>
      <c r="M13" t="s">
        <v>2316</v>
      </c>
      <c r="N13" t="s">
        <v>2321</v>
      </c>
    </row>
    <row r="14" spans="1:14" x14ac:dyDescent="0.2">
      <c r="A14" t="s">
        <v>915</v>
      </c>
      <c r="B14" t="s">
        <v>914</v>
      </c>
      <c r="C14" s="91">
        <v>19</v>
      </c>
      <c r="D14" t="s">
        <v>2103</v>
      </c>
      <c r="E14" t="s">
        <v>2274</v>
      </c>
      <c r="F14" s="91">
        <v>100</v>
      </c>
      <c r="G14" t="s">
        <v>80</v>
      </c>
      <c r="H14" t="s">
        <v>2296</v>
      </c>
      <c r="I14" s="91">
        <v>2016</v>
      </c>
      <c r="J14" t="s">
        <v>84</v>
      </c>
      <c r="K14" t="s">
        <v>181</v>
      </c>
      <c r="L14" t="s">
        <v>2312</v>
      </c>
      <c r="M14" t="s">
        <v>2317</v>
      </c>
      <c r="N14" t="s">
        <v>2322</v>
      </c>
    </row>
    <row r="15" spans="1:14" x14ac:dyDescent="0.2">
      <c r="A15" t="s">
        <v>915</v>
      </c>
      <c r="B15" t="s">
        <v>914</v>
      </c>
      <c r="C15" s="91">
        <v>21</v>
      </c>
      <c r="D15" t="s">
        <v>2105</v>
      </c>
      <c r="E15" t="s">
        <v>2276</v>
      </c>
      <c r="F15" s="91">
        <v>100</v>
      </c>
      <c r="G15" t="s">
        <v>80</v>
      </c>
      <c r="H15" t="s">
        <v>2296</v>
      </c>
      <c r="I15" s="91">
        <v>2012</v>
      </c>
      <c r="J15" t="s">
        <v>84</v>
      </c>
      <c r="K15" t="s">
        <v>181</v>
      </c>
      <c r="L15" t="s">
        <v>2308</v>
      </c>
      <c r="M15" t="s">
        <v>2313</v>
      </c>
      <c r="N15" t="s">
        <v>2323</v>
      </c>
    </row>
    <row r="16" spans="1:14" x14ac:dyDescent="0.2">
      <c r="A16" t="s">
        <v>915</v>
      </c>
      <c r="B16" t="s">
        <v>914</v>
      </c>
      <c r="C16" s="91">
        <v>21</v>
      </c>
      <c r="D16" t="s">
        <v>2105</v>
      </c>
      <c r="E16" t="s">
        <v>2276</v>
      </c>
      <c r="F16" s="91">
        <v>100</v>
      </c>
      <c r="G16" t="s">
        <v>80</v>
      </c>
      <c r="H16" t="s">
        <v>2296</v>
      </c>
      <c r="I16" s="91">
        <v>2013</v>
      </c>
      <c r="J16" t="s">
        <v>84</v>
      </c>
      <c r="K16" t="s">
        <v>181</v>
      </c>
      <c r="L16" t="s">
        <v>2309</v>
      </c>
      <c r="M16" t="s">
        <v>2314</v>
      </c>
      <c r="N16" t="s">
        <v>2324</v>
      </c>
    </row>
    <row r="17" spans="1:14" x14ac:dyDescent="0.2">
      <c r="A17" t="s">
        <v>915</v>
      </c>
      <c r="B17" t="s">
        <v>914</v>
      </c>
      <c r="C17" s="91">
        <v>21</v>
      </c>
      <c r="D17" t="s">
        <v>2105</v>
      </c>
      <c r="E17" t="s">
        <v>2276</v>
      </c>
      <c r="F17" s="91">
        <v>100</v>
      </c>
      <c r="G17" t="s">
        <v>80</v>
      </c>
      <c r="H17" t="s">
        <v>2296</v>
      </c>
      <c r="I17" s="91">
        <v>2014</v>
      </c>
      <c r="J17" t="s">
        <v>84</v>
      </c>
      <c r="K17" t="s">
        <v>181</v>
      </c>
      <c r="L17" t="s">
        <v>2310</v>
      </c>
      <c r="M17" t="s">
        <v>2315</v>
      </c>
      <c r="N17" t="s">
        <v>2325</v>
      </c>
    </row>
    <row r="18" spans="1:14" x14ac:dyDescent="0.2">
      <c r="A18" t="s">
        <v>915</v>
      </c>
      <c r="B18" t="s">
        <v>914</v>
      </c>
      <c r="C18" s="91">
        <v>21</v>
      </c>
      <c r="D18" t="s">
        <v>2105</v>
      </c>
      <c r="E18" t="s">
        <v>2276</v>
      </c>
      <c r="F18" s="91">
        <v>100</v>
      </c>
      <c r="G18" t="s">
        <v>80</v>
      </c>
      <c r="H18" t="s">
        <v>2296</v>
      </c>
      <c r="I18" s="91">
        <v>2015</v>
      </c>
      <c r="J18" t="s">
        <v>84</v>
      </c>
      <c r="K18" t="s">
        <v>181</v>
      </c>
      <c r="L18" t="s">
        <v>2311</v>
      </c>
      <c r="M18" t="s">
        <v>2316</v>
      </c>
      <c r="N18" t="s">
        <v>2326</v>
      </c>
    </row>
    <row r="19" spans="1:14" x14ac:dyDescent="0.2">
      <c r="A19" t="s">
        <v>915</v>
      </c>
      <c r="B19" t="s">
        <v>914</v>
      </c>
      <c r="C19" s="91">
        <v>21</v>
      </c>
      <c r="D19" t="s">
        <v>2105</v>
      </c>
      <c r="E19" t="s">
        <v>2276</v>
      </c>
      <c r="F19" s="91">
        <v>100</v>
      </c>
      <c r="G19" t="s">
        <v>80</v>
      </c>
      <c r="H19" t="s">
        <v>2296</v>
      </c>
      <c r="I19" s="91">
        <v>2016</v>
      </c>
      <c r="J19" t="s">
        <v>84</v>
      </c>
      <c r="K19" t="s">
        <v>181</v>
      </c>
      <c r="L19" t="s">
        <v>2312</v>
      </c>
      <c r="M19" t="s">
        <v>2317</v>
      </c>
      <c r="N19" t="s">
        <v>2327</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63.892573655000021</v>
      </c>
      <c r="D2" s="173">
        <f>'A- Generated'!D12</f>
        <v>63.892573655000021</v>
      </c>
      <c r="E2" s="173">
        <f>'_Data inputs (all)'!F7</f>
        <v>63.892574310302734</v>
      </c>
      <c r="F2" s="182">
        <f>IF(E2=0,1,ROUND(D2/E2,10))</f>
        <v>0.99999998970000004</v>
      </c>
      <c r="G2" s="182">
        <f>IF(D2=0,1,ROUND(C2/D2,10))</f>
        <v>1</v>
      </c>
    </row>
    <row r="3" spans="1:7" x14ac:dyDescent="0.2">
      <c r="A3" s="6" t="s">
        <v>81</v>
      </c>
      <c r="B3" s="6" t="s">
        <v>87</v>
      </c>
      <c r="C3" s="173">
        <f>v8_</f>
        <v>51.11405892400002</v>
      </c>
      <c r="D3" s="173">
        <f>'A- Generated'!D15</f>
        <v>51.11405892400002</v>
      </c>
      <c r="E3" s="173">
        <f>'_Data inputs (all)'!F9</f>
        <v>51.114059448242188</v>
      </c>
      <c r="F3" s="182">
        <f t="shared" ref="F3:F17" si="0">IF(E3=0,1,ROUND(D3/E3,10))</f>
        <v>0.99999998970000004</v>
      </c>
      <c r="G3" s="182">
        <f t="shared" ref="G3:G17" si="1">IF(D3=0,1,ROUND(C3/D3,10))</f>
        <v>1</v>
      </c>
    </row>
    <row r="4" spans="1:7" x14ac:dyDescent="0.2">
      <c r="A4" s="6" t="s">
        <v>115</v>
      </c>
      <c r="B4" s="6" t="s">
        <v>2227</v>
      </c>
      <c r="C4" s="173">
        <f>v8_</f>
        <v>51.11405892400002</v>
      </c>
      <c r="D4" s="173">
        <f>'B- Generated by facility type'!F10</f>
        <v>51.114058923999998</v>
      </c>
      <c r="E4" s="173"/>
      <c r="F4" s="182">
        <f t="shared" si="0"/>
        <v>1</v>
      </c>
      <c r="G4" s="182">
        <f t="shared" si="1"/>
        <v>1</v>
      </c>
    </row>
    <row r="5" spans="1:7" x14ac:dyDescent="0.2">
      <c r="A5" s="6" t="s">
        <v>115</v>
      </c>
      <c r="B5" t="s">
        <v>112</v>
      </c>
      <c r="C5" s="173">
        <f>v14_</f>
        <v>44.235800363999999</v>
      </c>
      <c r="D5" s="173">
        <f>'B- Generated by facility type'!F5</f>
        <v>44.235800363999999</v>
      </c>
      <c r="E5" s="173">
        <f>'_Data inputs (all)'!F15</f>
        <v>44.235801696777344</v>
      </c>
      <c r="F5" s="182">
        <f t="shared" si="0"/>
        <v>0.99999996989999995</v>
      </c>
      <c r="G5" s="182">
        <f t="shared" si="1"/>
        <v>1</v>
      </c>
    </row>
    <row r="6" spans="1:7" x14ac:dyDescent="0.2">
      <c r="A6" s="6" t="s">
        <v>115</v>
      </c>
      <c r="B6" t="s">
        <v>113</v>
      </c>
      <c r="C6" s="173">
        <f>v15_</f>
        <v>6.8782585600000017</v>
      </c>
      <c r="D6" s="173">
        <f>'B- Generated by facility type'!F6</f>
        <v>6.8782585600000017</v>
      </c>
      <c r="E6" s="173">
        <f>'_Data inputs (all)'!F16</f>
        <v>6.8782587051391602</v>
      </c>
      <c r="F6" s="182">
        <f t="shared" si="0"/>
        <v>0.99999997890000003</v>
      </c>
      <c r="G6" s="182">
        <f t="shared" si="1"/>
        <v>1</v>
      </c>
    </row>
    <row r="7" spans="1:7" x14ac:dyDescent="0.2">
      <c r="A7" s="6" t="s">
        <v>115</v>
      </c>
      <c r="B7" t="s">
        <v>1</v>
      </c>
      <c r="C7" s="173">
        <f>v16_</f>
        <v>0</v>
      </c>
      <c r="D7" s="173">
        <f>'B- Generated by facility type'!F7</f>
        <v>0</v>
      </c>
      <c r="E7" s="173">
        <f>'_Data inputs (all)'!F17</f>
        <v>0</v>
      </c>
      <c r="F7" s="182">
        <f t="shared" si="0"/>
        <v>1</v>
      </c>
      <c r="G7" s="182">
        <f t="shared" si="1"/>
        <v>1</v>
      </c>
    </row>
    <row r="8" spans="1:7" x14ac:dyDescent="0.2">
      <c r="A8" s="6" t="s">
        <v>115</v>
      </c>
      <c r="B8" t="s">
        <v>2</v>
      </c>
      <c r="C8" s="173">
        <f>v17_</f>
        <v>0</v>
      </c>
      <c r="D8" s="173">
        <f>'B- Generated by facility type'!F8</f>
        <v>0</v>
      </c>
      <c r="E8" s="173">
        <f>'_Data inputs (all)'!F18</f>
        <v>0</v>
      </c>
      <c r="F8" s="182">
        <f t="shared" si="0"/>
        <v>1</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44.235800363999999</v>
      </c>
      <c r="D10" s="173">
        <f>'D- Delivered'!B4</f>
        <v>44.235800363999999</v>
      </c>
      <c r="E10" s="173">
        <f>'_Data inputs (all)'!F30</f>
        <v>44.235801696777344</v>
      </c>
      <c r="F10" s="182">
        <f t="shared" si="0"/>
        <v>0.99999996989999995</v>
      </c>
      <c r="G10" s="182">
        <f t="shared" si="1"/>
        <v>1</v>
      </c>
    </row>
    <row r="11" spans="1:7" x14ac:dyDescent="0.2">
      <c r="A11" s="6" t="s">
        <v>116</v>
      </c>
      <c r="B11" s="6" t="s">
        <v>2136</v>
      </c>
      <c r="C11" s="173">
        <f>v30_</f>
        <v>3.4391292800000008</v>
      </c>
      <c r="D11" s="173">
        <f>'D- Delivered'!B5</f>
        <v>3.4391292800000008</v>
      </c>
      <c r="E11" s="173">
        <f>'_Data inputs (all)'!F31</f>
        <v>3.4391293525695801</v>
      </c>
      <c r="F11" s="182">
        <f t="shared" si="0"/>
        <v>0.99999997890000003</v>
      </c>
      <c r="G11" s="182">
        <f t="shared" si="1"/>
        <v>1</v>
      </c>
    </row>
    <row r="12" spans="1:7" x14ac:dyDescent="0.2">
      <c r="A12" s="6" t="s">
        <v>116</v>
      </c>
      <c r="B12" s="6" t="s">
        <v>2137</v>
      </c>
      <c r="C12" s="173">
        <f>v31_</f>
        <v>0</v>
      </c>
      <c r="D12" s="173">
        <f>'D- Delivered'!B6</f>
        <v>0</v>
      </c>
      <c r="E12" s="173">
        <f>'_Data inputs (all)'!F32</f>
        <v>0</v>
      </c>
      <c r="F12" s="182">
        <f t="shared" si="0"/>
        <v>1</v>
      </c>
      <c r="G12" s="182">
        <f t="shared" si="1"/>
        <v>1</v>
      </c>
    </row>
    <row r="13" spans="1:7" x14ac:dyDescent="0.2">
      <c r="A13" s="6" t="s">
        <v>116</v>
      </c>
      <c r="B13" s="6" t="s">
        <v>2138</v>
      </c>
      <c r="C13" s="173">
        <f>v32_</f>
        <v>47.674929644000002</v>
      </c>
      <c r="D13" s="173">
        <f>'D- Delivered'!B7</f>
        <v>47.674929644000002</v>
      </c>
      <c r="E13" s="173">
        <f>'_Data inputs (all)'!F33</f>
        <v>47.674930572509766</v>
      </c>
      <c r="F13" s="182">
        <f t="shared" si="0"/>
        <v>0.99999998050000005</v>
      </c>
      <c r="G13" s="182">
        <f t="shared" si="1"/>
        <v>1</v>
      </c>
    </row>
    <row r="14" spans="1:7" x14ac:dyDescent="0.2">
      <c r="A14" s="6" t="s">
        <v>194</v>
      </c>
      <c r="B14" s="6" t="s">
        <v>117</v>
      </c>
      <c r="C14" s="173">
        <f>v33_</f>
        <v>44.235800363999999</v>
      </c>
      <c r="D14" s="173">
        <f>'E- Safely treated'!B4</f>
        <v>44.235800363999999</v>
      </c>
      <c r="E14" s="173">
        <f>'_Data inputs (all)'!F34</f>
        <v>44.235801696777344</v>
      </c>
      <c r="F14" s="182">
        <f t="shared" si="0"/>
        <v>0.99999996989999995</v>
      </c>
      <c r="G14" s="182">
        <f t="shared" si="1"/>
        <v>1</v>
      </c>
    </row>
    <row r="15" spans="1:7" x14ac:dyDescent="0.2">
      <c r="A15" s="6" t="s">
        <v>194</v>
      </c>
      <c r="B15" s="6" t="s">
        <v>717</v>
      </c>
      <c r="C15" s="173">
        <f>v34_</f>
        <v>3.4391292800000008</v>
      </c>
      <c r="D15" s="173">
        <f>'E- Safely treated'!B5</f>
        <v>3.4391292800000008</v>
      </c>
      <c r="E15" s="173">
        <f>'_Data inputs (all)'!F35</f>
        <v>3.4391293525695801</v>
      </c>
      <c r="F15" s="182">
        <f t="shared" si="0"/>
        <v>0.99999997890000003</v>
      </c>
      <c r="G15" s="182">
        <f t="shared" si="1"/>
        <v>1</v>
      </c>
    </row>
    <row r="16" spans="1:7" x14ac:dyDescent="0.2">
      <c r="A16" s="6" t="s">
        <v>194</v>
      </c>
      <c r="B16" s="6" t="s">
        <v>721</v>
      </c>
      <c r="C16" s="173">
        <f>v35_</f>
        <v>0</v>
      </c>
      <c r="D16" s="173">
        <f>'E- Safely treated'!B6</f>
        <v>0</v>
      </c>
      <c r="E16" s="173">
        <f>'_Data inputs (all)'!F36</f>
        <v>0</v>
      </c>
      <c r="F16" s="182">
        <f t="shared" si="0"/>
        <v>1</v>
      </c>
      <c r="G16" s="182">
        <f t="shared" si="1"/>
        <v>1</v>
      </c>
    </row>
    <row r="17" spans="1:7" x14ac:dyDescent="0.2">
      <c r="A17" s="6" t="s">
        <v>194</v>
      </c>
      <c r="B17" t="s">
        <v>55</v>
      </c>
      <c r="C17" s="173">
        <f>v36_</f>
        <v>47.674929644000002</v>
      </c>
      <c r="D17" s="173">
        <f>'E- Safely treated'!B7</f>
        <v>47.674929644000002</v>
      </c>
      <c r="E17" s="173">
        <f>'_Data inputs (all)'!F37</f>
        <v>47.674930572509766</v>
      </c>
      <c r="F17" s="182">
        <f t="shared" si="0"/>
        <v>0.99999998050000005</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Bahrain</v>
      </c>
      <c r="B2" s="42" t="str">
        <f>'_Data inputs (all)'!B2</f>
        <v>BHR</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1472.23</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Bahrain</v>
      </c>
      <c r="B3" s="42" t="str">
        <f>'_Data inputs (all)'!B3</f>
        <v>BHR</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98.9</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Bahrain</v>
      </c>
      <c r="B4" s="42" t="str">
        <f>'_Data inputs (all)'!B4</f>
        <v>BHR</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1.1000000000000001</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Bahrain</v>
      </c>
      <c r="B5" s="42" t="str">
        <f>'_Data inputs (all)'!B5</f>
        <v>BHR</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Bahrain</v>
      </c>
      <c r="B6" s="42" t="str">
        <f>'_Data inputs (all)'!B6</f>
        <v>BHR</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Bahrain</v>
      </c>
      <c r="B7" s="42" t="str">
        <f>'_Data inputs (all)'!B7</f>
        <v>BHR</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63.892573655000021</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Bahrain</v>
      </c>
      <c r="B8" s="42" t="str">
        <f>'_Data inputs (all)'!B8</f>
        <v>BHR</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Bahrain</v>
      </c>
      <c r="B9" s="42" t="str">
        <f>'_Data inputs (all)'!B9</f>
        <v>BHR</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51.11405892400002</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Bahrain</v>
      </c>
      <c r="B10" s="42" t="str">
        <f>'_Data inputs (all)'!B10</f>
        <v>BHR</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85.75</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Bahrain</v>
      </c>
      <c r="B11" s="42" t="str">
        <f>'_Data inputs (all)'!B11</f>
        <v>BHR</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14.25</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Bahrain</v>
      </c>
      <c r="B12" s="42" t="str">
        <f>'_Data inputs (all)'!B12</f>
        <v>BHR</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0</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Bahrain</v>
      </c>
      <c r="B13" s="42" t="str">
        <f>'_Data inputs (all)'!B13</f>
        <v>BHR</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Bahrain</v>
      </c>
      <c r="B14" s="42" t="str">
        <f>'_Data inputs (all)'!B14</f>
        <v>BHR</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Bahrain</v>
      </c>
      <c r="B15" s="42" t="str">
        <f>'_Data inputs (all)'!B15</f>
        <v>BHR</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44.235800363999999</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Bahrain</v>
      </c>
      <c r="B16" s="42" t="str">
        <f>'_Data inputs (all)'!B16</f>
        <v>BHR</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6.8782585600000017</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Bahrain</v>
      </c>
      <c r="B17" s="42" t="str">
        <f>'_Data inputs (all)'!B17</f>
        <v>BHR</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0</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Bahrain</v>
      </c>
      <c r="B18" s="42" t="str">
        <f>'_Data inputs (all)'!B18</f>
        <v>BHR</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Bahrain</v>
      </c>
      <c r="B19" s="42" t="str">
        <f>'_Data inputs (all)'!B19</f>
        <v>BHR</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Bahrain</v>
      </c>
      <c r="B20" s="42" t="str">
        <f>'_Data inputs (all)'!B20</f>
        <v>BHR</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2017</v>
      </c>
      <c r="J20" s="187" t="str">
        <f>IF(ISTEXT('_Data inputs (all)'!J20),'_Data inputs (all)'!J20,"")</f>
        <v>Yes</v>
      </c>
      <c r="K20" s="188" t="str">
        <f>IF(ISTEXT('_Data inputs (all)'!K20),'_Data inputs (all)'!K20,"")</f>
        <v>UNSD, Country Files from the UNSD/UNEP data collection on Environment Statistics, 2017 (date accessed: September 2022)</v>
      </c>
      <c r="L20" s="186" t="str">
        <f>IF(ISTEXT('_Data inputs (all)'!L20),'_Data inputs (all)'!L20,"")</f>
        <v>BHR_2017_UNSD</v>
      </c>
      <c r="M20" s="188" t="str">
        <f>IF(ISTEXT('_Data inputs (all)'!M20),'_Data inputs (all)'!M20,"")</f>
        <v>Table W5, derived from the proportion of the population connected to wastewater treatment plants (line 2=81%) divided by the proportion of the population connected to wastewater collecting systems (sewers; line 1=81%)</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Bahrain</v>
      </c>
      <c r="B21" s="42" t="str">
        <f>'_Data inputs (all)'!B21</f>
        <v>BHR</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Bahrain</v>
      </c>
      <c r="B22" s="42" t="str">
        <f>'_Data inputs (all)'!B22</f>
        <v>BHR</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2017</v>
      </c>
      <c r="J22" s="187" t="str">
        <f>IF(ISTEXT('_Data inputs (all)'!J22),'_Data inputs (all)'!J22,"")</f>
        <v>Yes</v>
      </c>
      <c r="K22" s="188" t="str">
        <f>IF(ISTEXT('_Data inputs (all)'!K22),'_Data inputs (all)'!K22,"")</f>
        <v>UNSD, Country Files from the UNSD/UNEP data collection on Environment Statistics, 2017 (date accessed: September 2022)</v>
      </c>
      <c r="L22" s="186" t="str">
        <f>IF(ISTEXT('_Data inputs (all)'!L22),'_Data inputs (all)'!L22,"")</f>
        <v>BHR_2017_UNSD</v>
      </c>
      <c r="M22" s="188" t="str">
        <f>IF(ISTEXT('_Data inputs (all)'!M22),'_Data inputs (all)'!M22,"")</f>
        <v>Table W4, derived from the volume of urban wastewater (1000 m3/year) collected at wastewater treatment plants and treated by secondary or higher processes [secondary (line 13=206.7) &amp; tertiary (line 14=206.6) treatment] divided by the volume collected at wastewater treatment plants [primary (line 12=0), secondary (line 13=206.7), &amp; tertiary (line 14=206.6) treatment].</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Bahrain</v>
      </c>
      <c r="B23" s="42" t="str">
        <f>'_Data inputs (all)'!B23</f>
        <v>BHR</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Bahrain</v>
      </c>
      <c r="B24" s="42" t="str">
        <f>'_Data inputs (all)'!B24</f>
        <v>BHR</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Bahrain</v>
      </c>
      <c r="B25" s="42" t="str">
        <f>'_Data inputs (all)'!B25</f>
        <v>BHR</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Bahrain</v>
      </c>
      <c r="B26" s="42" t="str">
        <f>'_Data inputs (all)'!B26</f>
        <v>BHR</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100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2017</v>
      </c>
      <c r="J26" s="187" t="str">
        <f>IF(ISTEXT('_Data inputs (all)'!J26),'_Data inputs (all)'!J26,"")</f>
        <v>Yes</v>
      </c>
      <c r="K26" s="188" t="str">
        <f>IF(ISTEXT('_Data inputs (all)'!K26),'_Data inputs (all)'!K26,"")</f>
        <v>Ministry of Works, Municipalities Affairs and Urban Planning</v>
      </c>
      <c r="L26" s="186" t="str">
        <f>IF(ISTEXT('_Data inputs (all)'!L26),'_Data inputs (all)'!L26,"")</f>
        <v>BHR_2017_MWMAUP</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Bahrain</v>
      </c>
      <c r="B27" s="42" t="str">
        <f>'_Data inputs (all)'!B27</f>
        <v>BHR</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
      </c>
      <c r="L27" s="186" t="str">
        <f>IF(ISTEXT('_Data inputs (all)'!L27),'_Data inputs (all)'!L27,"")</f>
        <v/>
      </c>
      <c r="M27" s="188" t="str">
        <f>IF(ISTEXT('_Data inputs (all)'!M27),'_Data inputs (all)'!M27,"")</f>
        <v>Value assumed to be zero, as the sum of the reported data for the septic tank emptying variables ([23], [24], [25], [26]) already equals 100%.</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Bahrain</v>
      </c>
      <c r="B28" s="42" t="str">
        <f>'_Data inputs (all)'!B28</f>
        <v>BHR</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Bahrain</v>
      </c>
      <c r="B29" s="42" t="str">
        <f>'_Data inputs (all)'!B29</f>
        <v>BHR</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100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Bahrain</v>
      </c>
      <c r="B30" s="42" t="str">
        <f>'_Data inputs (all)'!B30</f>
        <v>BHR</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44.235800363999999</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Bahrain</v>
      </c>
      <c r="B31" s="42" t="str">
        <f>'_Data inputs (all)'!B31</f>
        <v>BHR</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3.4391292800000008</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Bahrain</v>
      </c>
      <c r="B32" s="42" t="str">
        <f>'_Data inputs (all)'!B32</f>
        <v>BHR</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Bahrain</v>
      </c>
      <c r="B33" s="42" t="str">
        <f>'_Data inputs (all)'!B33</f>
        <v>BHR</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47.674929644000002</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Bahrain</v>
      </c>
      <c r="B34" s="42" t="str">
        <f>'_Data inputs (all)'!B34</f>
        <v>BHR</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44.235800363999999</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Bahrain</v>
      </c>
      <c r="B35" s="42" t="str">
        <f>'_Data inputs (all)'!B35</f>
        <v>BHR</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3.4391292800000008</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Bahrain</v>
      </c>
      <c r="B36" s="42" t="str">
        <f>'_Data inputs (all)'!B36</f>
        <v>BHR</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Bahrain</v>
      </c>
      <c r="B37" s="42" t="str">
        <f>'_Data inputs (all)'!B37</f>
        <v>BHR</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47.674929644000002</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Bahrain</v>
      </c>
      <c r="B38" s="42" t="str">
        <f>'_Data inputs (all)'!B38</f>
        <v>BHR</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86.543313708999122</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Bahrain</v>
      </c>
      <c r="B39" s="42" t="str">
        <f>'_Data inputs (all)'!B39</f>
        <v>BHR</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6.7283431455004195</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Bahrain</v>
      </c>
      <c r="B40" s="42" t="str">
        <f>'_Data inputs (all)'!B40</f>
        <v>BHR</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Bahrain</v>
      </c>
      <c r="B41" s="42" t="str">
        <f>'_Data inputs (all)'!B41</f>
        <v>BHR</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93.27165685449954</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Bahrain</v>
      </c>
      <c r="B3" s="1" t="str">
        <f>IF(ISTEXT('_Data inputs (reported)'!B2),'_Data inputs (reported)'!B2,"")</f>
        <v>BHR</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100</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2017</v>
      </c>
      <c r="J3" s="1" t="str">
        <f>IF(ISTEXT('_Data inputs (reported)'!J2),'_Data inputs (reported)'!J2,"")</f>
        <v>Yes</v>
      </c>
      <c r="K3" s="105" t="str">
        <f>IF(ISTEXT('_Data inputs (reported)'!K2),'_Data inputs (reported)'!K2,"")</f>
        <v/>
      </c>
      <c r="L3" s="105" t="str">
        <f>IF(ISTEXT('_Data inputs (reported)'!L2),'_Data inputs (reported)'!L2,"")</f>
        <v>UNSD, Country Files from the UNSD/UNEP data collection on Environment Statistics, 2017 (date accessed: September 2022)</v>
      </c>
      <c r="M3" s="1" t="str">
        <f>IF(ISTEXT('_Data inputs (reported)'!M2),'_Data inputs (reported)'!M2,"")</f>
        <v>BHR_2017_UNSD</v>
      </c>
      <c r="N3" s="105" t="str">
        <f>IF(ISTEXT('_Data inputs (reported)'!N2),'_Data inputs (reported)'!N2,"")</f>
        <v>Table W5, derived from the proportion of the population connected to wastewater treatment plants (line 2=81%) divided by the proportion of the population connected to wastewater collecting systems (sewers; line 1=81%)</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Bahrain</v>
      </c>
      <c r="B4" s="1" t="str">
        <f>IF(ISTEXT('_Data inputs (reported)'!B3),'_Data inputs (reported)'!B3,"")</f>
        <v>BHR</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100</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2017</v>
      </c>
      <c r="J4" s="1" t="str">
        <f>IF(ISTEXT('_Data inputs (reported)'!J3),'_Data inputs (reported)'!J3,"")</f>
        <v>Yes</v>
      </c>
      <c r="K4" s="105" t="str">
        <f>IF(ISTEXT('_Data inputs (reported)'!K3),'_Data inputs (reported)'!K3,"")</f>
        <v/>
      </c>
      <c r="L4" s="105" t="str">
        <f>IF(ISTEXT('_Data inputs (reported)'!L3),'_Data inputs (reported)'!L3,"")</f>
        <v>UNSD, Country Files from the UNSD/UNEP data collection on Environment Statistics, 2017 (date accessed: September 2022)</v>
      </c>
      <c r="M4" s="1" t="str">
        <f>IF(ISTEXT('_Data inputs (reported)'!M3),'_Data inputs (reported)'!M3,"")</f>
        <v>BHR_2017_UNSD</v>
      </c>
      <c r="N4" s="105" t="str">
        <f>IF(ISTEXT('_Data inputs (reported)'!N3),'_Data inputs (reported)'!N3,"")</f>
        <v>Table W4, derived from the volume of urban wastewater (1000 m3/year) collected at wastewater treatment plants and treated by secondary or higher processes [secondary (line 13=206.7) &amp; tertiary (line 14=206.6) treatment] divided by the volume collected at wastewater treatment plants [primary (line 12=0), secondary (line 13=206.7), &amp; tertiary (line 14=206.6) treatment].</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Bahrain</v>
      </c>
      <c r="B5" s="1" t="str">
        <f>IF(ISTEXT('_Data inputs (reported)'!B4),'_Data inputs (reported)'!B4,"")</f>
        <v>BHR</v>
      </c>
      <c r="C5" s="179">
        <f>IF(ISBLANK('_Data inputs (reported)'!C4),"",'_Data inputs (reported)'!C4)</f>
        <v>25</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removed off-site</v>
      </c>
      <c r="E5" s="1" t="str">
        <f>IF(ISTEXT('_Data inputs (reported)'!E4),'_Data inputs (reported)'!E4,"")</f>
        <v>SEP_OFF_EMPT_PCT</v>
      </c>
      <c r="F5" s="8">
        <f>IF(ISNUMBER('_Data inputs (reported)'!F4),'_Data inputs (reported)'!F4,"")</f>
        <v>100</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2017</v>
      </c>
      <c r="J5" s="1" t="str">
        <f>IF(ISTEXT('_Data inputs (reported)'!J4),'_Data inputs (reported)'!J4,"")</f>
        <v>Yes</v>
      </c>
      <c r="K5" s="105" t="str">
        <f>IF(ISTEXT('_Data inputs (reported)'!K4),'_Data inputs (reported)'!K4,"")</f>
        <v/>
      </c>
      <c r="L5" s="105" t="str">
        <f>IF(ISTEXT('_Data inputs (reported)'!L4),'_Data inputs (reported)'!L4,"")</f>
        <v>Ministry of Works, Municipalities Affairs and Urban Planning</v>
      </c>
      <c r="M5" s="1" t="str">
        <f>IF(ISTEXT('_Data inputs (reported)'!M4),'_Data inputs (reported)'!M4,"")</f>
        <v>BHR_2017_MWMAUP</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Bahrain</v>
      </c>
      <c r="B6" s="1" t="str">
        <f>IF(ISTEXT('_Data inputs (reported)'!B5),'_Data inputs (reported)'!B5,"")</f>
        <v>BHR</v>
      </c>
      <c r="C6" s="179">
        <f>IF(ISBLANK('_Data inputs (reported)'!C5),"",'_Data inputs (reported)'!C5)</f>
        <v>8</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Volume of household wastewater generated</v>
      </c>
      <c r="E6" s="1" t="str">
        <f>IF(ISTEXT('_Data inputs (reported)'!E5),'_Data inputs (reported)'!E5,"")</f>
        <v>GEN_VOL</v>
      </c>
      <c r="F6" s="8">
        <f>IF(ISNUMBER('_Data inputs (reported)'!F5),'_Data inputs (reported)'!F5,"")</f>
        <v>116.6905059814453</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Million m3/year</v>
      </c>
      <c r="H6" s="1" t="str">
        <f>IF(ISTEXT('_Data inputs (reported)'!H5),'_Data inputs (reported)'!H5,"")</f>
        <v>R</v>
      </c>
      <c r="I6" s="42">
        <f>IF(ISNUMBER('_Data inputs (reported)'!I5),'_Data inputs (reported)'!I5,"")</f>
        <v>2012</v>
      </c>
      <c r="J6" s="1" t="str">
        <f>IF(ISTEXT('_Data inputs (reported)'!J5),'_Data inputs (reported)'!J5,"")</f>
        <v>No</v>
      </c>
      <c r="K6" s="105" t="str">
        <f>IF(ISTEXT('_Data inputs (reported)'!K5),'_Data inputs (reported)'!K5,"")</f>
        <v>Not the most recent data point for this variable</v>
      </c>
      <c r="L6" s="105" t="str">
        <f>IF(ISTEXT('_Data inputs (reported)'!L5),'_Data inputs (reported)'!L5,"")</f>
        <v>UNSD, Country Files from the UNSD/UNEP data collection on Environment Statistics, 2012 (date accessed: September 2022)</v>
      </c>
      <c r="M6" s="1" t="str">
        <f>IF(ISTEXT('_Data inputs (reported)'!M5),'_Data inputs (reported)'!M5,"")</f>
        <v>BHR_2012_UNSD</v>
      </c>
      <c r="N6" s="105" t="str">
        <f>IF(ISTEXT('_Data inputs (reported)'!N5),'_Data inputs (reported)'!N5,"")</f>
        <v>Table W4, Line 9, Total wastewater generated by households</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Bahrain</v>
      </c>
      <c r="B7" s="1" t="str">
        <f>IF(ISTEXT('_Data inputs (reported)'!B6),'_Data inputs (reported)'!B6,"")</f>
        <v>BHR</v>
      </c>
      <c r="C7" s="179">
        <f>IF(ISBLANK('_Data inputs (reported)'!C6),"",'_Data inputs (reported)'!C6)</f>
        <v>8</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Volume of household wastewater generated</v>
      </c>
      <c r="E7" s="1" t="str">
        <f>IF(ISTEXT('_Data inputs (reported)'!E6),'_Data inputs (reported)'!E6,"")</f>
        <v>GEN_VOL</v>
      </c>
      <c r="F7" s="8">
        <f>IF(ISNUMBER('_Data inputs (reported)'!F6),'_Data inputs (reported)'!F6,"")</f>
        <v>123.91750335693359</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Million m3/year</v>
      </c>
      <c r="H7" s="1" t="str">
        <f>IF(ISTEXT('_Data inputs (reported)'!H6),'_Data inputs (reported)'!H6,"")</f>
        <v>R</v>
      </c>
      <c r="I7" s="42">
        <f>IF(ISNUMBER('_Data inputs (reported)'!I6),'_Data inputs (reported)'!I6,"")</f>
        <v>2013</v>
      </c>
      <c r="J7" s="1" t="str">
        <f>IF(ISTEXT('_Data inputs (reported)'!J6),'_Data inputs (reported)'!J6,"")</f>
        <v>No</v>
      </c>
      <c r="K7" s="105" t="str">
        <f>IF(ISTEXT('_Data inputs (reported)'!K6),'_Data inputs (reported)'!K6,"")</f>
        <v>Not the most recent data point for this variable</v>
      </c>
      <c r="L7" s="105" t="str">
        <f>IF(ISTEXT('_Data inputs (reported)'!L6),'_Data inputs (reported)'!L6,"")</f>
        <v>UNSD, Country Files from the UNSD/UNEP data collection on Environment Statistics, 2013 (date accessed: September 2022)</v>
      </c>
      <c r="M7" s="1" t="str">
        <f>IF(ISTEXT('_Data inputs (reported)'!M6),'_Data inputs (reported)'!M6,"")</f>
        <v>BHR_2013_UNSD</v>
      </c>
      <c r="N7" s="105" t="str">
        <f>IF(ISTEXT('_Data inputs (reported)'!N6),'_Data inputs (reported)'!N6,"")</f>
        <v>Table W4, Line 9, Total wastewater generated by households</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Bahrain</v>
      </c>
      <c r="B8" s="1" t="str">
        <f>IF(ISTEXT('_Data inputs (reported)'!B7),'_Data inputs (reported)'!B7,"")</f>
        <v>BHR</v>
      </c>
      <c r="C8" s="179">
        <f>IF(ISBLANK('_Data inputs (reported)'!C7),"",'_Data inputs (reported)'!C7)</f>
        <v>8</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Volume of household wastewater generated</v>
      </c>
      <c r="E8" s="1" t="str">
        <f>IF(ISTEXT('_Data inputs (reported)'!E7),'_Data inputs (reported)'!E7,"")</f>
        <v>GEN_VOL</v>
      </c>
      <c r="F8" s="8">
        <f>IF(ISNUMBER('_Data inputs (reported)'!F7),'_Data inputs (reported)'!F7,"")</f>
        <v>148.73750305175781</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Million m3/year</v>
      </c>
      <c r="H8" s="1" t="str">
        <f>IF(ISTEXT('_Data inputs (reported)'!H7),'_Data inputs (reported)'!H7,"")</f>
        <v>R</v>
      </c>
      <c r="I8" s="42">
        <f>IF(ISNUMBER('_Data inputs (reported)'!I7),'_Data inputs (reported)'!I7,"")</f>
        <v>2014</v>
      </c>
      <c r="J8" s="1" t="str">
        <f>IF(ISTEXT('_Data inputs (reported)'!J7),'_Data inputs (reported)'!J7,"")</f>
        <v>No</v>
      </c>
      <c r="K8" s="105" t="str">
        <f>IF(ISTEXT('_Data inputs (reported)'!K7),'_Data inputs (reported)'!K7,"")</f>
        <v>Not the most recent data point for this variable</v>
      </c>
      <c r="L8" s="105" t="str">
        <f>IF(ISTEXT('_Data inputs (reported)'!L7),'_Data inputs (reported)'!L7,"")</f>
        <v>UNSD, Country Files from the UNSD/UNEP data collection on Environment Statistics, 2014 (date accessed: September 2022)</v>
      </c>
      <c r="M8" s="1" t="str">
        <f>IF(ISTEXT('_Data inputs (reported)'!M7),'_Data inputs (reported)'!M7,"")</f>
        <v>BHR_2014_UNSD</v>
      </c>
      <c r="N8" s="105" t="str">
        <f>IF(ISTEXT('_Data inputs (reported)'!N7),'_Data inputs (reported)'!N7,"")</f>
        <v>Table W4, Line 9, Total wastewater generated by households</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Bahrain</v>
      </c>
      <c r="B9" s="1" t="str">
        <f>IF(ISTEXT('_Data inputs (reported)'!B8),'_Data inputs (reported)'!B8,"")</f>
        <v>BHR</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145.78099060058591</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2015</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UNSD, Country Files from the UNSD/UNEP data collection on Environment Statistics, 2015 (date accessed: September 2022)</v>
      </c>
      <c r="M9" s="1" t="str">
        <f>IF(ISTEXT('_Data inputs (reported)'!M8),'_Data inputs (reported)'!M8,"")</f>
        <v>BHR_2015_UNSD</v>
      </c>
      <c r="N9" s="105" t="str">
        <f>IF(ISTEXT('_Data inputs (reported)'!N8),'_Data inputs (reported)'!N8,"")</f>
        <v>Table W4, Line 9, Total wastewater generated by households</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Bahrain</v>
      </c>
      <c r="B10" s="1" t="str">
        <f>IF(ISTEXT('_Data inputs (reported)'!B9),'_Data inputs (reported)'!B9,"")</f>
        <v>BHR</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148.59150695800781</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2016</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UNSD, Country Files from the UNSD/UNEP data collection on Environment Statistics, 2016 (date accessed: September 2022)</v>
      </c>
      <c r="M10" s="1" t="str">
        <f>IF(ISTEXT('_Data inputs (reported)'!M9),'_Data inputs (reported)'!M9,"")</f>
        <v>BHR_2016_UNSD</v>
      </c>
      <c r="N10" s="105" t="str">
        <f>IF(ISTEXT('_Data inputs (reported)'!N9),'_Data inputs (reported)'!N9,"")</f>
        <v>Table W4, Line 9, Total wastewater generated by households</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Bahrain</v>
      </c>
      <c r="B11" s="1" t="str">
        <f>IF(ISTEXT('_Data inputs (reported)'!B10),'_Data inputs (reported)'!B10,"")</f>
        <v>BHR</v>
      </c>
      <c r="C11" s="179">
        <f>IF(ISBLANK('_Data inputs (reported)'!C10),"",'_Data inputs (reported)'!C10)</f>
        <v>19</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sewer wastewater delivered to treatment plants</v>
      </c>
      <c r="E11" s="1" t="str">
        <f>IF(ISTEXT('_Data inputs (reported)'!E10),'_Data inputs (reported)'!E10,"")</f>
        <v>SEW_DEL_WWTP_PCT</v>
      </c>
      <c r="F11" s="8">
        <f>IF(ISNUMBER('_Data inputs (reported)'!F10),'_Data inputs (reported)'!F10,"")</f>
        <v>100</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1" s="1" t="str">
        <f>IF(ISTEXT('_Data inputs (reported)'!H10),'_Data inputs (reported)'!H10,"")</f>
        <v>R</v>
      </c>
      <c r="I11" s="42">
        <f>IF(ISNUMBER('_Data inputs (reported)'!I10),'_Data inputs (reported)'!I10,"")</f>
        <v>2012</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UNSD, Country Files from the UNSD/UNEP data collection on Environment Statistics, 2012 (date accessed: September 2022)</v>
      </c>
      <c r="M11" s="1" t="str">
        <f>IF(ISTEXT('_Data inputs (reported)'!M10),'_Data inputs (reported)'!M10,"")</f>
        <v>BHR_2012_UNSD</v>
      </c>
      <c r="N11" s="105" t="str">
        <f>IF(ISTEXT('_Data inputs (reported)'!N10),'_Data inputs (reported)'!N10,"")</f>
        <v>Table W5, derived from the proportion of the population connected to wastewater treatment plants (line 2=87%) divided by the proportion of the population connected to wastewater collecting systems (sewers; line 1=87%)</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Bahrain</v>
      </c>
      <c r="B12" s="1" t="str">
        <f>IF(ISTEXT('_Data inputs (reported)'!B11),'_Data inputs (reported)'!B11,"")</f>
        <v>BHR</v>
      </c>
      <c r="C12" s="179">
        <f>IF(ISBLANK('_Data inputs (reported)'!C11),"",'_Data inputs (reported)'!C11)</f>
        <v>19</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sewer wastewater delivered to treatment plants</v>
      </c>
      <c r="E12" s="1" t="str">
        <f>IF(ISTEXT('_Data inputs (reported)'!E11),'_Data inputs (reported)'!E11,"")</f>
        <v>SEW_DEL_WWTP_PCT</v>
      </c>
      <c r="F12" s="8">
        <f>IF(ISNUMBER('_Data inputs (reported)'!F11),'_Data inputs (reported)'!F11,"")</f>
        <v>100</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2" s="1" t="str">
        <f>IF(ISTEXT('_Data inputs (reported)'!H11),'_Data inputs (reported)'!H11,"")</f>
        <v>R</v>
      </c>
      <c r="I12" s="42">
        <f>IF(ISNUMBER('_Data inputs (reported)'!I11),'_Data inputs (reported)'!I11,"")</f>
        <v>2013</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UNSD, Country Files from the UNSD/UNEP data collection on Environment Statistics, 2013 (date accessed: September 2022)</v>
      </c>
      <c r="M12" s="1" t="str">
        <f>IF(ISTEXT('_Data inputs (reported)'!M11),'_Data inputs (reported)'!M11,"")</f>
        <v>BHR_2013_UNSD</v>
      </c>
      <c r="N12" s="105" t="str">
        <f>IF(ISTEXT('_Data inputs (reported)'!N11),'_Data inputs (reported)'!N11,"")</f>
        <v>Table W5, derived from the proportion of the population connected to wastewater treatment plants (line 2=87%) divided by the proportion of the population connected to wastewater collecting systems (sewers; line 1=87%)</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Bahrain</v>
      </c>
      <c r="B13" s="1" t="str">
        <f>IF(ISTEXT('_Data inputs (reported)'!B12),'_Data inputs (reported)'!B12,"")</f>
        <v>BHR</v>
      </c>
      <c r="C13" s="179">
        <f>IF(ISBLANK('_Data inputs (reported)'!C12),"",'_Data inputs (reported)'!C12)</f>
        <v>19</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sewer wastewater delivered to treatment plants</v>
      </c>
      <c r="E13" s="1" t="str">
        <f>IF(ISTEXT('_Data inputs (reported)'!E12),'_Data inputs (reported)'!E12,"")</f>
        <v>SEW_DEL_WWTP_PCT</v>
      </c>
      <c r="F13" s="8">
        <f>IF(ISNUMBER('_Data inputs (reported)'!F12),'_Data inputs (reported)'!F12,"")</f>
        <v>100</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3" s="1" t="str">
        <f>IF(ISTEXT('_Data inputs (reported)'!H12),'_Data inputs (reported)'!H12,"")</f>
        <v>R</v>
      </c>
      <c r="I13" s="42">
        <f>IF(ISNUMBER('_Data inputs (reported)'!I12),'_Data inputs (reported)'!I12,"")</f>
        <v>2014</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UNSD, Country Files from the UNSD/UNEP data collection on Environment Statistics, 2014 (date accessed: September 2022)</v>
      </c>
      <c r="M13" s="1" t="str">
        <f>IF(ISTEXT('_Data inputs (reported)'!M12),'_Data inputs (reported)'!M12,"")</f>
        <v>BHR_2014_UNSD</v>
      </c>
      <c r="N13" s="105" t="str">
        <f>IF(ISTEXT('_Data inputs (reported)'!N12),'_Data inputs (reported)'!N12,"")</f>
        <v>Table W5, derived from the proportion of the population connected to wastewater treatment plants (line 2=90%) divided by the proportion of the population connected to wastewater collecting systems (sewers; line 1=90%)</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Bahrain</v>
      </c>
      <c r="B14" s="1" t="str">
        <f>IF(ISTEXT('_Data inputs (reported)'!B13),'_Data inputs (reported)'!B13,"")</f>
        <v>BHR</v>
      </c>
      <c r="C14" s="179">
        <f>IF(ISBLANK('_Data inputs (reported)'!C13),"",'_Data inputs (reported)'!C13)</f>
        <v>19</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4" s="1" t="str">
        <f>IF(ISTEXT('_Data inputs (reported)'!E13),'_Data inputs (reported)'!E13,"")</f>
        <v>SEW_DEL_WWTP_PCT</v>
      </c>
      <c r="F14" s="8">
        <f>IF(ISNUMBER('_Data inputs (reported)'!F13),'_Data inputs (reported)'!F13,"")</f>
        <v>100</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2015</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UNSD, Country Files from the UNSD/UNEP data collection on Environment Statistics, 2015 (date accessed: September 2022)</v>
      </c>
      <c r="M14" s="1" t="str">
        <f>IF(ISTEXT('_Data inputs (reported)'!M13),'_Data inputs (reported)'!M13,"")</f>
        <v>BHR_2015_UNSD</v>
      </c>
      <c r="N14" s="105" t="str">
        <f>IF(ISTEXT('_Data inputs (reported)'!N13),'_Data inputs (reported)'!N13,"")</f>
        <v>Table W5, derived from the proportion of the population connected to wastewater treatment plants (line 2=88%) divided by the proportion of the population connected to wastewater collecting systems (sewers; line 1=88%)</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Bahrain</v>
      </c>
      <c r="B15" s="1" t="str">
        <f>IF(ISTEXT('_Data inputs (reported)'!B14),'_Data inputs (reported)'!B14,"")</f>
        <v>BHR</v>
      </c>
      <c r="C15" s="179">
        <f>IF(ISBLANK('_Data inputs (reported)'!C14),"",'_Data inputs (reported)'!C14)</f>
        <v>19</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5" s="1" t="str">
        <f>IF(ISTEXT('_Data inputs (reported)'!E14),'_Data inputs (reported)'!E14,"")</f>
        <v>SEW_DEL_WWTP_PCT</v>
      </c>
      <c r="F15" s="8">
        <f>IF(ISNUMBER('_Data inputs (reported)'!F14),'_Data inputs (reported)'!F14,"")</f>
        <v>100</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5" s="1" t="str">
        <f>IF(ISTEXT('_Data inputs (reported)'!H14),'_Data inputs (reported)'!H14,"")</f>
        <v>R</v>
      </c>
      <c r="I15" s="42">
        <f>IF(ISNUMBER('_Data inputs (reported)'!I14),'_Data inputs (reported)'!I14,"")</f>
        <v>2016</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UNSD, Country Files from the UNSD/UNEP data collection on Environment Statistics, 2016 (date accessed: September 2022)</v>
      </c>
      <c r="M15" s="1" t="str">
        <f>IF(ISTEXT('_Data inputs (reported)'!M14),'_Data inputs (reported)'!M14,"")</f>
        <v>BHR_2016_UNSD</v>
      </c>
      <c r="N15" s="105" t="str">
        <f>IF(ISTEXT('_Data inputs (reported)'!N14),'_Data inputs (reported)'!N14,"")</f>
        <v>Table W5, derived from the proportion of the population connected to wastewater treatment plants (line 2=85%) divided by the proportion of the population connected to wastewater collecting systems (sewers; line 1=85%)</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Bahrain</v>
      </c>
      <c r="B16" s="1" t="str">
        <f>IF(ISTEXT('_Data inputs (reported)'!B15),'_Data inputs (reported)'!B15,"")</f>
        <v>BHR</v>
      </c>
      <c r="C16" s="179">
        <f>IF(ISBLANK('_Data inputs (reported)'!C15),"",'_Data inputs (reported)'!C15)</f>
        <v>21</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received sewer wastewater safely treated (by technology) at treatment plants</v>
      </c>
      <c r="E16" s="1" t="str">
        <f>IF(ISTEXT('_Data inputs (reported)'!E15),'_Data inputs (reported)'!E15,"")</f>
        <v>SEW_ST_WWTP_TCH_PCT</v>
      </c>
      <c r="F16" s="8">
        <f>IF(ISNUMBER('_Data inputs (reported)'!F15),'_Data inputs (reported)'!F15,"")</f>
        <v>100</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2012</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UNSD, Country Files from the UNSD/UNEP data collection on Environment Statistics, 2012 (date accessed: September 2022)</v>
      </c>
      <c r="M16" s="1" t="str">
        <f>IF(ISTEXT('_Data inputs (reported)'!M15),'_Data inputs (reported)'!M15,"")</f>
        <v>BHR_2012_UNSD</v>
      </c>
      <c r="N16" s="105" t="str">
        <f>IF(ISTEXT('_Data inputs (reported)'!N15),'_Data inputs (reported)'!N15,"")</f>
        <v>Table W4, derived from the volume of urban wastewater (1000 m3/year) collected at wastewater treatment plants and treated by secondary or higher processes [secondary (line 13=190.4) &amp; tertiary (line 14=129.3) treatment] divided by the volume collected at wastewater treatment plants [primary (line 12=0), secondary (line 13=190.4), &amp; tertiary (line 14=129.3) treatment].</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Bahrain</v>
      </c>
      <c r="B17" s="1" t="str">
        <f>IF(ISTEXT('_Data inputs (reported)'!B16),'_Data inputs (reported)'!B16,"")</f>
        <v>BHR</v>
      </c>
      <c r="C17" s="179">
        <f>IF(ISBLANK('_Data inputs (reported)'!C16),"",'_Data inputs (reported)'!C16)</f>
        <v>21</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received sewer wastewater safely treated (by technology) at treatment plants</v>
      </c>
      <c r="E17" s="1" t="str">
        <f>IF(ISTEXT('_Data inputs (reported)'!E16),'_Data inputs (reported)'!E16,"")</f>
        <v>SEW_ST_WWTP_TCH_PCT</v>
      </c>
      <c r="F17" s="8">
        <f>IF(ISNUMBER('_Data inputs (reported)'!F16),'_Data inputs (reported)'!F16,"")</f>
        <v>100</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7" s="1" t="str">
        <f>IF(ISTEXT('_Data inputs (reported)'!H16),'_Data inputs (reported)'!H16,"")</f>
        <v>R</v>
      </c>
      <c r="I17" s="42">
        <f>IF(ISNUMBER('_Data inputs (reported)'!I16),'_Data inputs (reported)'!I16,"")</f>
        <v>2013</v>
      </c>
      <c r="J17" s="1" t="str">
        <f>IF(ISTEXT('_Data inputs (reported)'!J16),'_Data inputs (reported)'!J16,"")</f>
        <v>No</v>
      </c>
      <c r="K17" s="105" t="str">
        <f>IF(ISTEXT('_Data inputs (reported)'!K16),'_Data inputs (reported)'!K16,"")</f>
        <v>Not the most recent data point for this variable</v>
      </c>
      <c r="L17" s="105" t="str">
        <f>IF(ISTEXT('_Data inputs (reported)'!L16),'_Data inputs (reported)'!L16,"")</f>
        <v>UNSD, Country Files from the UNSD/UNEP data collection on Environment Statistics, 2013 (date accessed: September 2022)</v>
      </c>
      <c r="M17" s="1" t="str">
        <f>IF(ISTEXT('_Data inputs (reported)'!M16),'_Data inputs (reported)'!M16,"")</f>
        <v>BHR_2013_UNSD</v>
      </c>
      <c r="N17" s="105" t="str">
        <f>IF(ISTEXT('_Data inputs (reported)'!N16),'_Data inputs (reported)'!N16,"")</f>
        <v>Table W4, derived from the volume of urban wastewater (1000 m3/year) collected at wastewater treatment plants and treated by secondary or higher processes [secondary (line 13=220.7) &amp; tertiary (line 14=118.8) treatment] divided by the volume collected at wastewater treatment plants [primary (line 12=0), secondary (line 13=220.7), &amp; tertiary (line 14=118.8) treatment].</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Bahrain</v>
      </c>
      <c r="B18" s="1" t="str">
        <f>IF(ISTEXT('_Data inputs (reported)'!B17),'_Data inputs (reported)'!B17,"")</f>
        <v>BHR</v>
      </c>
      <c r="C18" s="179">
        <f>IF(ISBLANK('_Data inputs (reported)'!C17),"",'_Data inputs (reported)'!C17)</f>
        <v>21</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received sewer wastewater safely treated (by technology) at treatment plants</v>
      </c>
      <c r="E18" s="1" t="str">
        <f>IF(ISTEXT('_Data inputs (reported)'!E17),'_Data inputs (reported)'!E17,"")</f>
        <v>SEW_ST_WWTP_TCH_PCT</v>
      </c>
      <c r="F18" s="8">
        <f>IF(ISNUMBER('_Data inputs (reported)'!F17),'_Data inputs (reported)'!F17,"")</f>
        <v>100</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8" s="1" t="str">
        <f>IF(ISTEXT('_Data inputs (reported)'!H17),'_Data inputs (reported)'!H17,"")</f>
        <v>R</v>
      </c>
      <c r="I18" s="42">
        <f>IF(ISNUMBER('_Data inputs (reported)'!I17),'_Data inputs (reported)'!I17,"")</f>
        <v>2014</v>
      </c>
      <c r="J18" s="1" t="str">
        <f>IF(ISTEXT('_Data inputs (reported)'!J17),'_Data inputs (reported)'!J17,"")</f>
        <v>No</v>
      </c>
      <c r="K18" s="105" t="str">
        <f>IF(ISTEXT('_Data inputs (reported)'!K17),'_Data inputs (reported)'!K17,"")</f>
        <v>Not the most recent data point for this variable</v>
      </c>
      <c r="L18" s="105" t="str">
        <f>IF(ISTEXT('_Data inputs (reported)'!L17),'_Data inputs (reported)'!L17,"")</f>
        <v>UNSD, Country Files from the UNSD/UNEP data collection on Environment Statistics, 2014 (date accessed: September 2022)</v>
      </c>
      <c r="M18" s="1" t="str">
        <f>IF(ISTEXT('_Data inputs (reported)'!M17),'_Data inputs (reported)'!M17,"")</f>
        <v>BHR_2014_UNSD</v>
      </c>
      <c r="N18" s="105" t="str">
        <f>IF(ISTEXT('_Data inputs (reported)'!N17),'_Data inputs (reported)'!N17,"")</f>
        <v>Table W4, derived from the volume of urban wastewater (1000 m3/year) collected at wastewater treatment plants and treated by secondary or higher processes [secondary (line 13=218.3) &amp; tertiary (line 14=189.2) treatment] divided by the volume collected at wastewater treatment plants [primary (line 12=0), secondary (line 13=218.3), &amp; tertiary (line 14=189.2) treatment].</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Bahrain</v>
      </c>
      <c r="B19" s="1" t="str">
        <f>IF(ISTEXT('_Data inputs (reported)'!B18),'_Data inputs (reported)'!B18,"")</f>
        <v>BHR</v>
      </c>
      <c r="C19" s="179">
        <f>IF(ISBLANK('_Data inputs (reported)'!C18),"",'_Data inputs (reported)'!C18)</f>
        <v>21</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received sewer wastewater safely treated (by technology) at treatment plants</v>
      </c>
      <c r="E19" s="1" t="str">
        <f>IF(ISTEXT('_Data inputs (reported)'!E18),'_Data inputs (reported)'!E18,"")</f>
        <v>SEW_ST_WWTP_TCH_PCT</v>
      </c>
      <c r="F19" s="8">
        <f>IF(ISNUMBER('_Data inputs (reported)'!F18),'_Data inputs (reported)'!F18,"")</f>
        <v>100</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9" s="1" t="str">
        <f>IF(ISTEXT('_Data inputs (reported)'!H18),'_Data inputs (reported)'!H18,"")</f>
        <v>R</v>
      </c>
      <c r="I19" s="42">
        <f>IF(ISNUMBER('_Data inputs (reported)'!I18),'_Data inputs (reported)'!I18,"")</f>
        <v>2015</v>
      </c>
      <c r="J19" s="1" t="str">
        <f>IF(ISTEXT('_Data inputs (reported)'!J18),'_Data inputs (reported)'!J18,"")</f>
        <v>No</v>
      </c>
      <c r="K19" s="105" t="str">
        <f>IF(ISTEXT('_Data inputs (reported)'!K18),'_Data inputs (reported)'!K18,"")</f>
        <v>Not the most recent data point for this variable</v>
      </c>
      <c r="L19" s="105" t="str">
        <f>IF(ISTEXT('_Data inputs (reported)'!L18),'_Data inputs (reported)'!L18,"")</f>
        <v>UNSD, Country Files from the UNSD/UNEP data collection on Environment Statistics, 2015 (date accessed: September 2022)</v>
      </c>
      <c r="M19" s="1" t="str">
        <f>IF(ISTEXT('_Data inputs (reported)'!M18),'_Data inputs (reported)'!M18,"")</f>
        <v>BHR_2015_UNSD</v>
      </c>
      <c r="N19" s="105" t="str">
        <f>IF(ISTEXT('_Data inputs (reported)'!N18),'_Data inputs (reported)'!N18,"")</f>
        <v>Table W4, derived from the volume of urban wastewater (1000 m3/year) collected at wastewater treatment plants and treated by secondary or higher processes [secondary (line 13=211.4) &amp; tertiary (line 14=188) treatment] divided by the volume collected at wastewater treatment plants [primary (line 12=0), secondary (line 13=211.4), &amp; tertiary (line 14=188) treatment].</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Bahrain</v>
      </c>
      <c r="B20" s="1" t="str">
        <f>IF(ISTEXT('_Data inputs (reported)'!B19),'_Data inputs (reported)'!B19,"")</f>
        <v>BHR</v>
      </c>
      <c r="C20" s="179">
        <f>IF(ISBLANK('_Data inputs (reported)'!C19),"",'_Data inputs (reported)'!C19)</f>
        <v>21</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20" s="1" t="str">
        <f>IF(ISTEXT('_Data inputs (reported)'!E19),'_Data inputs (reported)'!E19,"")</f>
        <v>SEW_ST_WWTP_TCH_PCT</v>
      </c>
      <c r="F20" s="8">
        <f>IF(ISNUMBER('_Data inputs (reported)'!F19),'_Data inputs (reported)'!F19,"")</f>
        <v>100</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20" s="1" t="str">
        <f>IF(ISTEXT('_Data inputs (reported)'!H19),'_Data inputs (reported)'!H19,"")</f>
        <v>R</v>
      </c>
      <c r="I20" s="42">
        <f>IF(ISNUMBER('_Data inputs (reported)'!I19),'_Data inputs (reported)'!I19,"")</f>
        <v>2016</v>
      </c>
      <c r="J20" s="1" t="str">
        <f>IF(ISTEXT('_Data inputs (reported)'!J19),'_Data inputs (reported)'!J19,"")</f>
        <v>No</v>
      </c>
      <c r="K20" s="105" t="str">
        <f>IF(ISTEXT('_Data inputs (reported)'!K19),'_Data inputs (reported)'!K19,"")</f>
        <v>Not the most recent data point for this variable</v>
      </c>
      <c r="L20" s="105" t="str">
        <f>IF(ISTEXT('_Data inputs (reported)'!L19),'_Data inputs (reported)'!L19,"")</f>
        <v>UNSD, Country Files from the UNSD/UNEP data collection on Environment Statistics, 2016 (date accessed: September 2022)</v>
      </c>
      <c r="M20" s="1" t="str">
        <f>IF(ISTEXT('_Data inputs (reported)'!M19),'_Data inputs (reported)'!M19,"")</f>
        <v>BHR_2016_UNSD</v>
      </c>
      <c r="N20" s="105" t="str">
        <f>IF(ISTEXT('_Data inputs (reported)'!N19),'_Data inputs (reported)'!N19,"")</f>
        <v>Table W4, derived from the volume of urban wastewater (1000 m3/year) collected at wastewater treatment plants and treated by secondary or higher processes [secondary (line 13=198.2) &amp; tertiary (line 14=208.9) treatment] divided by the volume collected at wastewater treatment plants [primary (line 12=0), secondary (line 13=198.2), &amp; tertiary (line 14=208.9) treatment].</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1" s="1" t="str">
        <f>IF(ISTEXT('_Data inputs (reported)'!B20),'_Data inputs (reported)'!B20,"")</f>
        <v/>
      </c>
      <c r="C21" s="179" t="str">
        <f>IF(ISBLANK('_Data inputs (reported)'!C20),"",'_Data inputs (reported)'!C20)</f>
        <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1" s="1" t="str">
        <f>IF(ISTEXT('_Data inputs (reported)'!E20),'_Data inputs (reported)'!E20,"")</f>
        <v/>
      </c>
      <c r="F21" s="8" t="str">
        <f>IF(ISNUMBER('_Data inputs (reported)'!F20),'_Data inputs (reported)'!F20,"")</f>
        <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1" s="1" t="str">
        <f>IF(ISTEXT('_Data inputs (reported)'!H20),'_Data inputs (reported)'!H20,"")</f>
        <v/>
      </c>
      <c r="I21" s="42" t="str">
        <f>IF(ISNUMBER('_Data inputs (reported)'!I20),'_Data inputs (reported)'!I20,"")</f>
        <v/>
      </c>
      <c r="J21" s="1" t="str">
        <f>IF(ISTEXT('_Data inputs (reported)'!J20),'_Data inputs (reported)'!J20,"")</f>
        <v/>
      </c>
      <c r="K21" s="105" t="str">
        <f>IF(ISTEXT('_Data inputs (reported)'!K20),'_Data inputs (reported)'!K20,"")</f>
        <v/>
      </c>
      <c r="L21" s="105" t="str">
        <f>IF(ISTEXT('_Data inputs (reported)'!L20),'_Data inputs (reported)'!L20,"")</f>
        <v/>
      </c>
      <c r="M21" s="1" t="str">
        <f>IF(ISTEXT('_Data inputs (reported)'!M20),'_Data inputs (reported)'!M20,"")</f>
        <v/>
      </c>
      <c r="N21" s="105" t="str">
        <f>IF(ISTEXT('_Data inputs (reported)'!N20),'_Data inputs (reported)'!N20,"")</f>
        <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2" s="1" t="str">
        <f>IF(ISTEXT('_Data inputs (reported)'!B21),'_Data inputs (reported)'!B21,"")</f>
        <v/>
      </c>
      <c r="C22" s="179" t="str">
        <f>IF(ISBLANK('_Data inputs (reported)'!C21),"",'_Data inputs (reported)'!C21)</f>
        <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2" s="1" t="str">
        <f>IF(ISTEXT('_Data inputs (reported)'!E21),'_Data inputs (reported)'!E21,"")</f>
        <v/>
      </c>
      <c r="F22" s="8" t="str">
        <f>IF(ISNUMBER('_Data inputs (reported)'!F21),'_Data inputs (reported)'!F21,"")</f>
        <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2" s="1" t="str">
        <f>IF(ISTEXT('_Data inputs (reported)'!H21),'_Data inputs (reported)'!H21,"")</f>
        <v/>
      </c>
      <c r="I22" s="42" t="str">
        <f>IF(ISNUMBER('_Data inputs (reported)'!I21),'_Data inputs (reported)'!I21,"")</f>
        <v/>
      </c>
      <c r="J22" s="1" t="str">
        <f>IF(ISTEXT('_Data inputs (reported)'!J21),'_Data inputs (reported)'!J21,"")</f>
        <v/>
      </c>
      <c r="K22" s="105" t="str">
        <f>IF(ISTEXT('_Data inputs (reported)'!K21),'_Data inputs (reported)'!K21,"")</f>
        <v/>
      </c>
      <c r="L22" s="105" t="str">
        <f>IF(ISTEXT('_Data inputs (reported)'!L21),'_Data inputs (reported)'!L21,"")</f>
        <v/>
      </c>
      <c r="M22" s="1" t="str">
        <f>IF(ISTEXT('_Data inputs (reported)'!M21),'_Data inputs (reported)'!M21,"")</f>
        <v/>
      </c>
      <c r="N22" s="105" t="str">
        <f>IF(ISTEXT('_Data inputs (reported)'!N21),'_Data inputs (reported)'!N21,"")</f>
        <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3" s="1" t="str">
        <f>IF(ISTEXT('_Data inputs (reported)'!B22),'_Data inputs (reported)'!B22,"")</f>
        <v/>
      </c>
      <c r="C23" s="179" t="str">
        <f>IF(ISBLANK('_Data inputs (reported)'!C22),"",'_Data inputs (reported)'!C22)</f>
        <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3" s="1" t="str">
        <f>IF(ISTEXT('_Data inputs (reported)'!E22),'_Data inputs (reported)'!E22,"")</f>
        <v/>
      </c>
      <c r="F23" s="8" t="str">
        <f>IF(ISNUMBER('_Data inputs (reported)'!F22),'_Data inputs (reported)'!F22,"")</f>
        <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3" s="1" t="str">
        <f>IF(ISTEXT('_Data inputs (reported)'!H22),'_Data inputs (reported)'!H22,"")</f>
        <v/>
      </c>
      <c r="I23" s="42" t="str">
        <f>IF(ISNUMBER('_Data inputs (reported)'!I22),'_Data inputs (reported)'!I22,"")</f>
        <v/>
      </c>
      <c r="J23" s="1" t="str">
        <f>IF(ISTEXT('_Data inputs (reported)'!J22),'_Data inputs (reported)'!J22,"")</f>
        <v/>
      </c>
      <c r="K23" s="105" t="str">
        <f>IF(ISTEXT('_Data inputs (reported)'!K22),'_Data inputs (reported)'!K22,"")</f>
        <v/>
      </c>
      <c r="L23" s="105" t="str">
        <f>IF(ISTEXT('_Data inputs (reported)'!L22),'_Data inputs (reported)'!L22,"")</f>
        <v/>
      </c>
      <c r="M23" s="1" t="str">
        <f>IF(ISTEXT('_Data inputs (reported)'!M22),'_Data inputs (reported)'!M22,"")</f>
        <v/>
      </c>
      <c r="N23" s="105" t="str">
        <f>IF(ISTEXT('_Data inputs (reported)'!N22),'_Data inputs (reported)'!N22,"")</f>
        <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4" s="1" t="str">
        <f>IF(ISTEXT('_Data inputs (reported)'!B23),'_Data inputs (reported)'!B23,"")</f>
        <v/>
      </c>
      <c r="C24" s="179" t="str">
        <f>IF(ISBLANK('_Data inputs (reported)'!C23),"",'_Data inputs (reported)'!C23)</f>
        <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4" s="1" t="str">
        <f>IF(ISTEXT('_Data inputs (reported)'!E23),'_Data inputs (reported)'!E23,"")</f>
        <v/>
      </c>
      <c r="F24" s="8" t="str">
        <f>IF(ISNUMBER('_Data inputs (reported)'!F23),'_Data inputs (reported)'!F23,"")</f>
        <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4" s="1" t="str">
        <f>IF(ISTEXT('_Data inputs (reported)'!H23),'_Data inputs (reported)'!H23,"")</f>
        <v/>
      </c>
      <c r="I24" s="42" t="str">
        <f>IF(ISNUMBER('_Data inputs (reported)'!I23),'_Data inputs (reported)'!I23,"")</f>
        <v/>
      </c>
      <c r="J24" s="1" t="str">
        <f>IF(ISTEXT('_Data inputs (reported)'!J23),'_Data inputs (reported)'!J23,"")</f>
        <v/>
      </c>
      <c r="K24" s="105" t="str">
        <f>IF(ISTEXT('_Data inputs (reported)'!K23),'_Data inputs (reported)'!K23,"")</f>
        <v/>
      </c>
      <c r="L24" s="105" t="str">
        <f>IF(ISTEXT('_Data inputs (reported)'!L23),'_Data inputs (reported)'!L23,"")</f>
        <v/>
      </c>
      <c r="M24" s="1" t="str">
        <f>IF(ISTEXT('_Data inputs (reported)'!M23),'_Data inputs (reported)'!M23,"")</f>
        <v/>
      </c>
      <c r="N24" s="105" t="str">
        <f>IF(ISTEXT('_Data inputs (reported)'!N23),'_Data inputs (reported)'!N23,"")</f>
        <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5" s="1" t="str">
        <f>IF(ISTEXT('_Data inputs (reported)'!B24),'_Data inputs (reported)'!B24,"")</f>
        <v/>
      </c>
      <c r="C25" s="179" t="str">
        <f>IF(ISBLANK('_Data inputs (reported)'!C24),"",'_Data inputs (reported)'!C24)</f>
        <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5" s="1" t="str">
        <f>IF(ISTEXT('_Data inputs (reported)'!E24),'_Data inputs (reported)'!E24,"")</f>
        <v/>
      </c>
      <c r="F25" s="8" t="str">
        <f>IF(ISNUMBER('_Data inputs (reported)'!F24),'_Data inputs (reported)'!F24,"")</f>
        <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5" s="1" t="str">
        <f>IF(ISTEXT('_Data inputs (reported)'!H24),'_Data inputs (reported)'!H24,"")</f>
        <v/>
      </c>
      <c r="I25" s="42" t="str">
        <f>IF(ISNUMBER('_Data inputs (reported)'!I24),'_Data inputs (reported)'!I24,"")</f>
        <v/>
      </c>
      <c r="J25" s="1" t="str">
        <f>IF(ISTEXT('_Data inputs (reported)'!J24),'_Data inputs (reported)'!J24,"")</f>
        <v/>
      </c>
      <c r="K25" s="105" t="str">
        <f>IF(ISTEXT('_Data inputs (reported)'!K24),'_Data inputs (reported)'!K24,"")</f>
        <v/>
      </c>
      <c r="L25" s="105" t="str">
        <f>IF(ISTEXT('_Data inputs (reported)'!L24),'_Data inputs (reported)'!L24,"")</f>
        <v/>
      </c>
      <c r="M25" s="1" t="str">
        <f>IF(ISTEXT('_Data inputs (reported)'!M24),'_Data inputs (reported)'!M24,"")</f>
        <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6" s="1" t="str">
        <f>IF(ISTEXT('_Data inputs (reported)'!B25),'_Data inputs (reported)'!B25,"")</f>
        <v/>
      </c>
      <c r="C26" s="179" t="str">
        <f>IF(ISBLANK('_Data inputs (reported)'!C25),"",'_Data inputs (reported)'!C25)</f>
        <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6" s="1" t="str">
        <f>IF(ISTEXT('_Data inputs (reported)'!E25),'_Data inputs (reported)'!E25,"")</f>
        <v/>
      </c>
      <c r="F26" s="8" t="str">
        <f>IF(ISNUMBER('_Data inputs (reported)'!F25),'_Data inputs (reported)'!F25,"")</f>
        <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6" s="1" t="str">
        <f>IF(ISTEXT('_Data inputs (reported)'!H25),'_Data inputs (reported)'!H25,"")</f>
        <v/>
      </c>
      <c r="I26" s="42" t="str">
        <f>IF(ISNUMBER('_Data inputs (reported)'!I25),'_Data inputs (reported)'!I25,"")</f>
        <v/>
      </c>
      <c r="J26" s="1" t="str">
        <f>IF(ISTEXT('_Data inputs (reported)'!J25),'_Data inputs (reported)'!J25,"")</f>
        <v/>
      </c>
      <c r="K26" s="105" t="str">
        <f>IF(ISTEXT('_Data inputs (reported)'!K25),'_Data inputs (reported)'!K25,"")</f>
        <v/>
      </c>
      <c r="L26" s="105" t="str">
        <f>IF(ISTEXT('_Data inputs (reported)'!L25),'_Data inputs (reported)'!L25,"")</f>
        <v/>
      </c>
      <c r="M26" s="1" t="str">
        <f>IF(ISTEXT('_Data inputs (reported)'!M25),'_Data inputs (reported)'!M25,"")</f>
        <v/>
      </c>
      <c r="N26" s="105" t="str">
        <f>IF(ISTEXT('_Data inputs (reported)'!N25),'_Data inputs (reported)'!N25,"")</f>
        <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7" s="1" t="str">
        <f>IF(ISTEXT('_Data inputs (reported)'!B26),'_Data inputs (reported)'!B26,"")</f>
        <v/>
      </c>
      <c r="C27" s="179" t="str">
        <f>IF(ISBLANK('_Data inputs (reported)'!C26),"",'_Data inputs (reported)'!C26)</f>
        <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7" s="1" t="str">
        <f>IF(ISTEXT('_Data inputs (reported)'!E26),'_Data inputs (reported)'!E26,"")</f>
        <v/>
      </c>
      <c r="F27" s="8" t="str">
        <f>IF(ISNUMBER('_Data inputs (reported)'!F26),'_Data inputs (reported)'!F26,"")</f>
        <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7" s="1" t="str">
        <f>IF(ISTEXT('_Data inputs (reported)'!H26),'_Data inputs (reported)'!H26,"")</f>
        <v/>
      </c>
      <c r="I27" s="42" t="str">
        <f>IF(ISNUMBER('_Data inputs (reported)'!I26),'_Data inputs (reported)'!I26,"")</f>
        <v/>
      </c>
      <c r="J27" s="1" t="str">
        <f>IF(ISTEXT('_Data inputs (reported)'!J26),'_Data inputs (reported)'!J26,"")</f>
        <v/>
      </c>
      <c r="K27" s="105" t="str">
        <f>IF(ISTEXT('_Data inputs (reported)'!K26),'_Data inputs (reported)'!K26,"")</f>
        <v/>
      </c>
      <c r="L27" s="105" t="str">
        <f>IF(ISTEXT('_Data inputs (reported)'!L26),'_Data inputs (reported)'!L26,"")</f>
        <v/>
      </c>
      <c r="M27" s="1" t="str">
        <f>IF(ISTEXT('_Data inputs (reported)'!M26),'_Data inputs (reported)'!M26,"")</f>
        <v/>
      </c>
      <c r="N27" s="105" t="str">
        <f>IF(ISTEXT('_Data inputs (reported)'!N26),'_Data inputs (reported)'!N26,"")</f>
        <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1472.23</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98.9</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1.1000000000000001</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63.892573655000021</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51.11405892400002</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0.85750000000000004</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44.235800363999999</v>
      </c>
      <c r="G5" s="28" t="str">
        <f>'_Data inputs (all)'!H15</f>
        <v>C</v>
      </c>
      <c r="H5" s="159">
        <f>F5/$F$10*100</f>
        <v>86.543313708999165</v>
      </c>
      <c r="I5" s="28" t="s">
        <v>5</v>
      </c>
      <c r="J5" s="29" t="s">
        <v>19</v>
      </c>
    </row>
    <row r="6" spans="1:24" x14ac:dyDescent="0.2">
      <c r="A6" s="19" t="str">
        <f>HLOOKUP(Introduction!$A$2,nametranslations,106,FALSE)</f>
        <v>Stream 2: Septic tanks</v>
      </c>
      <c r="B6" s="121">
        <v>10</v>
      </c>
      <c r="C6" s="123">
        <f>_xlfn.SINGLE(v10_)/100</f>
        <v>0.14249999999999999</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6.8782585600000017</v>
      </c>
      <c r="G6" s="28" t="str">
        <f>'_Data inputs (all)'!H16</f>
        <v>C</v>
      </c>
      <c r="H6" s="159">
        <f>F6/$F$10*100</f>
        <v>13.456686291000844</v>
      </c>
      <c r="I6" s="28" t="s">
        <v>5</v>
      </c>
      <c r="J6" s="29" t="s">
        <v>20</v>
      </c>
    </row>
    <row r="7" spans="1:24" x14ac:dyDescent="0.2">
      <c r="A7" s="17" t="str">
        <f>HLOOKUP(Introduction!$A$2,nametranslations,107,FALSE)</f>
        <v>Other improved facilities</v>
      </c>
      <c r="B7" s="121" t="s">
        <v>65</v>
      </c>
      <c r="C7" s="123">
        <f>_xlfn.SINGLE(v11_)/100</f>
        <v>0</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t="str">
        <f>'_Data inputs (all)'!H17</f>
        <v>C</v>
      </c>
      <c r="H7" s="159">
        <f>F7/$F$10*100</f>
        <v>0</v>
      </c>
      <c r="I7" s="28" t="s">
        <v>5</v>
      </c>
      <c r="J7" s="29" t="s">
        <v>21</v>
      </c>
    </row>
    <row r="8" spans="1:24" x14ac:dyDescent="0.2">
      <c r="A8" s="17" t="str">
        <f>HLOOKUP(Introduction!$A$2,nametranslations,108,FALSE)</f>
        <v>Unimproved facilities</v>
      </c>
      <c r="B8" s="121" t="s">
        <v>66</v>
      </c>
      <c r="C8" s="123">
        <f>_xlfn.SINGLE(v12_)/100</f>
        <v>0</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t="str">
        <f>'_Data inputs (all)'!H18</f>
        <v>C</v>
      </c>
      <c r="H8" s="159">
        <f>F8/$F$10*100</f>
        <v>0</v>
      </c>
      <c r="I8" s="28" t="s">
        <v>5</v>
      </c>
      <c r="J8" s="29" t="s">
        <v>22</v>
      </c>
    </row>
    <row r="9" spans="1:24" ht="17"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7" thickBot="1" x14ac:dyDescent="0.25">
      <c r="A10" s="9"/>
      <c r="C10" s="9"/>
      <c r="D10" s="10" t="str">
        <f>HLOOKUP(Introduction!$A$2,nametranslations,182,FALSE)</f>
        <v>Total:</v>
      </c>
      <c r="E10" s="126" t="s">
        <v>64</v>
      </c>
      <c r="F10" s="158">
        <f>SUM(F5:F9)</f>
        <v>51.114058923999998</v>
      </c>
      <c r="G10" s="31" t="str">
        <f>'_Data inputs (all)'!H9</f>
        <v>C</v>
      </c>
      <c r="H10" s="160">
        <f>SUM(H5:H9)</f>
        <v>100.00000000000001</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44.235800363999999</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86.543313708999165</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6.8782585600000017</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13.456686291000844</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ht="17" x14ac:dyDescent="0.2">
      <c r="A16" s="112"/>
      <c r="B16" s="177" t="str">
        <f>HLOOKUP(Introduction!$A$2,nametranslations,129,FALSE)</f>
        <v>Proportion of tanks with faecal sludge emptied and removed off-site</v>
      </c>
      <c r="C16" s="103" t="s">
        <v>32</v>
      </c>
      <c r="D16" s="163">
        <f>_xlfn.SINGLE(v25_)</f>
        <v>100</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100</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8" thickBot="1"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44.235800363999999</v>
      </c>
      <c r="C4" s="34" t="str">
        <f>'_Data inputs (all)'!H30</f>
        <v>C</v>
      </c>
      <c r="D4" s="51" t="s">
        <v>49</v>
      </c>
      <c r="E4" s="35">
        <f>B4/'A- Generated'!D15</f>
        <v>0.86543313708999126</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3.4391292800000008</v>
      </c>
      <c r="C5" s="28" t="str">
        <f>'_Data inputs (all)'!H31</f>
        <v>C</v>
      </c>
      <c r="D5" s="50" t="s">
        <v>50</v>
      </c>
      <c r="E5" s="36">
        <f>B5/'A- Generated'!D15</f>
        <v>6.7283431455004192E-2</v>
      </c>
      <c r="F5" s="44" t="s">
        <v>5</v>
      </c>
      <c r="G5" s="39" t="s">
        <v>38</v>
      </c>
      <c r="H5" s="36">
        <f>IF(ISNUMBER(B5/'B- Generated by facility type'!F6),B5/'B- Generated by facility type'!F6,"N/A")</f>
        <v>0.5</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t="str">
        <f>'_Data inputs (all)'!H32</f>
        <v>C</v>
      </c>
      <c r="D6" s="50" t="s">
        <v>51</v>
      </c>
      <c r="E6" s="36">
        <f>B6/'A- Generated'!D15</f>
        <v>0</v>
      </c>
      <c r="F6" s="44" t="s">
        <v>5</v>
      </c>
      <c r="G6" s="40" t="s">
        <v>39</v>
      </c>
      <c r="H6" s="36">
        <f>IF(ISNUMBER(B6/'B- Generated by facility type'!F6),B6/'B- Generated by facility type'!F6,"N/A")</f>
        <v>0</v>
      </c>
      <c r="I6" s="44" t="s">
        <v>5</v>
      </c>
      <c r="J6" s="40" t="s">
        <v>42</v>
      </c>
    </row>
    <row r="7" spans="1:27" ht="40" customHeight="1" thickBot="1" x14ac:dyDescent="0.25">
      <c r="A7" s="49" t="str">
        <f>HLOOKUP(Introduction!$A$2,nametranslations,148,FALSE)</f>
        <v>Total delivered to treatment</v>
      </c>
      <c r="B7" s="168">
        <f>SUM(B4:B6)</f>
        <v>47.674929644000002</v>
      </c>
      <c r="C7" s="129" t="str">
        <f>'_Data inputs (all)'!H33</f>
        <v>C</v>
      </c>
      <c r="D7" s="130" t="s">
        <v>52</v>
      </c>
      <c r="E7" s="131">
        <f>B7/'A- Generated'!D15</f>
        <v>0.93271656854499552</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44.235800363999999</v>
      </c>
      <c r="C4" s="23" t="str">
        <f>'_Data inputs (all)'!H34</f>
        <v>C</v>
      </c>
      <c r="D4" s="58" t="s">
        <v>159</v>
      </c>
      <c r="E4" s="24">
        <f>B4/'A- Generated'!D15</f>
        <v>0.86543313708999126</v>
      </c>
      <c r="F4" s="23" t="str">
        <f>'_Data inputs (all)'!H38</f>
        <v>C</v>
      </c>
      <c r="G4" s="13" t="s">
        <v>45</v>
      </c>
      <c r="H4" s="45">
        <f>IF(ISNUMBER(B4/'B- Generated by facility type'!F5),B4/'B- Generated by facility type'!F5,"N/A")</f>
        <v>1</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3.4391292800000008</v>
      </c>
      <c r="C5" s="52" t="str">
        <f>'_Data inputs (all)'!H35</f>
        <v>C</v>
      </c>
      <c r="D5" s="59" t="s">
        <v>53</v>
      </c>
      <c r="E5" s="25">
        <f>B5/'A- Generated'!D15</f>
        <v>6.7283431455004192E-2</v>
      </c>
      <c r="F5" s="52" t="str">
        <f>'_Data inputs (all)'!H39</f>
        <v>C</v>
      </c>
      <c r="G5" s="60" t="s">
        <v>46</v>
      </c>
      <c r="H5" s="46">
        <f>IF(ISNUMBER(B5/'B- Generated by facility type'!F6), B5/'B- Generated by facility type'!F6, "N/A")</f>
        <v>0.5</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v>
      </c>
      <c r="C6" s="52" t="str">
        <f>'_Data inputs (all)'!H36</f>
        <v>C</v>
      </c>
      <c r="D6" s="59" t="s">
        <v>54</v>
      </c>
      <c r="E6" s="25">
        <f>B6/'A- Generated'!D15</f>
        <v>0</v>
      </c>
      <c r="F6" s="52" t="str">
        <f>'_Data inputs (all)'!H40</f>
        <v>C</v>
      </c>
      <c r="G6" s="60" t="s">
        <v>47</v>
      </c>
      <c r="H6" s="46">
        <f>IF(ISNUMBER(B6/'B- Generated by facility type'!F6),B6/'B- Generated by facility type'!F6,"N/A")</f>
        <v>0</v>
      </c>
      <c r="I6" s="53" t="s">
        <v>5</v>
      </c>
      <c r="J6" s="40" t="s">
        <v>36</v>
      </c>
    </row>
    <row r="7" spans="1:27" ht="123" customHeight="1" x14ac:dyDescent="0.2">
      <c r="A7" s="61" t="str">
        <f>HLOOKUP(Introduction!$A$2,nametranslations,154,FALSE)</f>
        <v>Total safely treated</v>
      </c>
      <c r="B7" s="57">
        <f>SUM(B4:B6)</f>
        <v>47.674929644000002</v>
      </c>
      <c r="C7" s="54" t="str">
        <f>'_Data inputs (all)'!H37</f>
        <v>C</v>
      </c>
      <c r="D7" s="59" t="s">
        <v>56</v>
      </c>
      <c r="E7" s="63" t="str">
        <f>IF(LEFT(B8,2)="No",HLOOKUP(Introduction!$A$2,nametranslations,155,FALSE),HLOOKUP(Introduction!$A$2,nametranslations,156,FALSE) &amp; " "&amp; TEXT(SUM(E4:E6),"0.0%"))</f>
        <v>COUNTRY ESTIMATE (SDG 6.3.1):  93.3%</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2023-10-20T03:54:41Z</dcterms:modified>
</cp:coreProperties>
</file>