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D10" i="6"/>
  <c r="C10" i="6"/>
  <c r="F10" i="6" s="1"/>
  <c r="D9" i="6"/>
  <c r="C9" i="6"/>
  <c r="I9" i="6" s="1"/>
  <c r="D8" i="6"/>
  <c r="C8" i="6"/>
  <c r="I8" i="6" s="1"/>
  <c r="D7" i="6"/>
  <c r="C7" i="6"/>
  <c r="I7" i="6" s="1"/>
  <c r="D6" i="6"/>
  <c r="C6" i="6"/>
  <c r="F5" i="6"/>
  <c r="D5" i="6"/>
  <c r="C5" i="6"/>
  <c r="I5" i="6" s="1"/>
  <c r="I4" i="6"/>
  <c r="F4" i="6"/>
  <c r="D4" i="6"/>
  <c r="C4" i="6"/>
  <c r="F3" i="6"/>
  <c r="F6" i="6" s="1"/>
  <c r="D3" i="6"/>
  <c r="C3" i="6"/>
  <c r="I3" i="6" s="1"/>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7" i="9" s="1"/>
  <c r="E4" i="9"/>
  <c r="C4" i="9"/>
  <c r="B4" i="9"/>
  <c r="A1" i="9"/>
  <c r="D12" i="3"/>
  <c r="W4" i="3"/>
  <c r="T4" i="3"/>
  <c r="S4" i="3"/>
  <c r="Q4" i="3"/>
  <c r="N4" i="3"/>
  <c r="M4" i="3"/>
  <c r="K4" i="3"/>
  <c r="J4" i="3"/>
  <c r="H4" i="3"/>
  <c r="G4" i="3"/>
  <c r="E4" i="3"/>
  <c r="D4" i="3"/>
  <c r="B4" i="3"/>
  <c r="A4" i="3"/>
  <c r="P4" i="3" s="1"/>
  <c r="V4" i="3" s="1"/>
  <c r="V3" i="3"/>
  <c r="A1" i="3"/>
  <c r="C3" i="1"/>
  <c r="C15" i="6" l="1"/>
  <c r="F14" i="6" s="1"/>
  <c r="C5" i="1"/>
  <c r="E9" i="9"/>
  <c r="F7" i="6"/>
  <c r="F9" i="6"/>
  <c r="F8" i="6"/>
</calcChain>
</file>

<file path=xl/sharedStrings.xml><?xml version="1.0" encoding="utf-8"?>
<sst xmlns="http://schemas.openxmlformats.org/spreadsheetml/2006/main" count="516" uniqueCount="223">
  <si>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</si>
  <si>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</si>
  <si>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</si>
  <si>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</si>
  <si>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</si>
  <si>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</si>
  <si>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</si>
  <si>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</si>
  <si>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</si>
  <si>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</si>
  <si>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</si>
  <si>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</si>
  <si>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</si>
  <si>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</si>
  <si>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</si>
  <si>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</si>
  <si>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</si>
  <si>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</si>
  <si>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</si>
  <si>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</si>
  <si>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</si>
  <si>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</si>
  <si>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</si>
  <si>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</si>
  <si>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</si>
  <si>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</si>
  <si>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</si>
  <si>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</si>
  <si>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</si>
  <si>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</si>
  <si>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</si>
  <si>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</si>
  <si>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</si>
  <si>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</si>
  <si>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</si>
  <si>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</si>
  <si>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</si>
  <si>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</si>
  <si>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</si>
  <si>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</si>
  <si>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</si>
  <si>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</si>
  <si>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</si>
  <si>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</si>
  <si>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</si>
  <si>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</si>
  <si>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</si>
  <si>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</si>
  <si>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</si>
  <si>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</si>
  <si>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</si>
  <si>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</si>
  <si>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</si>
  <si>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</si>
  <si>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</si>
  <si>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</si>
  <si>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</si>
  <si>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</si>
  <si>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</si>
  <si>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</si>
  <si>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</si>
  <si>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</si>
  <si>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</si>
  <si>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</si>
  <si>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</si>
  <si>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</si>
  <si>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</si>
  <si>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</si>
  <si>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</si>
  <si>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</si>
  <si>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</si>
  <si>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</si>
  <si>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</si>
  <si>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</si>
  <si>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</si>
  <si>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</si>
  <si>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</si>
  <si>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</si>
  <si>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</si>
  <si>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</si>
  <si>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</si>
  <si>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</si>
  <si>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</si>
  <si>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</si>
  <si>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</si>
  <si>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</si>
  <si>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</si>
  <si>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</si>
  <si>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</si>
  <si>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</si>
  <si>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</si>
  <si>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</si>
  <si>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</si>
  <si>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</si>
  <si>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</si>
  <si>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</si>
  <si>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</si>
  <si>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</si>
  <si>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</si>
  <si>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</si>
  <si>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</si>
  <si>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</si>
  <si>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</si>
  <si>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</si>
  <si>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</si>
  <si>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</si>
  <si>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</si>
  <si>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</si>
  <si>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</si>
  <si>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</si>
  <si>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</si>
  <si>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</si>
  <si>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</si>
  <si>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</si>
  <si>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</si>
  <si>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</si>
  <si>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</si>
  <si>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</si>
  <si>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</si>
  <si>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</si>
  <si>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</si>
  <si>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</si>
  <si>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</si>
  <si>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</si>
  <si>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</si>
  <si>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</si>
  <si>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</si>
  <si>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</si>
  <si>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</si>
  <si>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</si>
  <si>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</si>
  <si>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</si>
  <si>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</si>
  <si>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</si>
  <si>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</si>
  <si>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</si>
  <si>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</si>
  <si>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</si>
  <si>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</si>
  <si>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</si>
  <si>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</si>
  <si>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</si>
  <si>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</si>
  <si>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</si>
  <si>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</si>
  <si>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</si>
  <si>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</si>
  <si>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</si>
  <si>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</si>
  <si>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</si>
  <si>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</si>
  <si>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</si>
  <si>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</si>
  <si>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</si>
  <si>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</si>
  <si>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KIR</t>
  </si>
  <si>
    <t>Kiribati</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</si>
  <si>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</si>
  <si>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</si>
  <si>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</si>
  <si>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</si>
  <si>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</si>
  <si>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</si>
  <si>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</si>
  <si>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</si>
  <si>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</si>
  <si>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</si>
  <si>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</si>
  <si>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</si>
  <si>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</si>
  <si>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</si>
  <si>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</si>
  <si>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</si>
  <si>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</si>
  <si>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</si>
  <si>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</si>
  <si>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</si>
  <si>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</si>
  <si>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</si>
  <si>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</si>
  <si>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</si>
  <si>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</si>
  <si>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</si>
  <si>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</si>
  <si>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</si>
  <si>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</si>
  <si>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</si>
  <si>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</si>
  <si>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</si>
  <si>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</si>
  <si>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</si>
  <si>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</si>
  <si>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</si>
  <si>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</si>
  <si>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</si>
  <si>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</si>
  <si>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</si>
  <si>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</si>
  <si>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</si>
  <si>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</si>
  <si>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</si>
  <si>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</si>
  <si>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</si>
  <si>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</si>
  <si>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</si>
  <si>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</si>
  <si>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jmp_2021_kir_kiribati v2.xlsx</t>
  </si>
  <si>
    <t>Default assumption</t>
  </si>
  <si>
    <t/>
  </si>
  <si>
    <t>Multiple Indicator Cluster Survey</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</si>
  <si>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</si>
  <si>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</si>
  <si>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</si>
  <si>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</si>
  <si>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</si>
  <si>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</si>
  <si>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</si>
  <si>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</si>
  <si>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</si>
  <si>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</si>
  <si>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</si>
  <si>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Kiribati Social Development Indicator Survey 2018-19 / MICS</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</si>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</sst>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Kiribati</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31%</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(Kiribati,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119.44599914550781</v>
      </c>
      <c r="B4" s="32" t="str">
        <f>'Data summary'!G2</f>
        <v>E</v>
      </c>
      <c r="C4" s="33" t="s">
        <v>137</v>
      </c>
      <c r="D4" s="56">
        <f>v2_</f>
        <v>0.55856756333521285</v>
      </c>
      <c r="E4" s="32" t="str">
        <f>'Data summary'!G3</f>
        <v>E</v>
      </c>
      <c r="F4" s="34" t="s">
        <v>138</v>
      </c>
      <c r="G4" s="57">
        <f>v3_</f>
        <v>0.44143241882324219</v>
      </c>
      <c r="H4" s="32" t="str">
        <f>'Data summary'!G4</f>
        <v>E</v>
      </c>
      <c r="I4" s="34" t="s">
        <v>139</v>
      </c>
      <c r="J4" s="35">
        <f>v4_</f>
        <v>120</v>
      </c>
      <c r="K4" s="32" t="str">
        <f>'Data summary'!G5</f>
        <v>A</v>
      </c>
      <c r="L4" s="34" t="s">
        <v>140</v>
      </c>
      <c r="M4" s="35">
        <f>v5_</f>
        <v>20</v>
      </c>
      <c r="N4" s="36" t="str">
        <f>'Data summary'!G6</f>
        <v>A</v>
      </c>
      <c r="O4" s="34" t="s">
        <v>141</v>
      </c>
      <c r="P4" s="72">
        <f>A4*D4*J4*365/1000000 + A4*G4*M4*365/1000000</f>
        <v>3.3071868934940549</v>
      </c>
      <c r="Q4" s="36" t="str">
        <f>'Data summary'!G7</f>
        <v>C</v>
      </c>
      <c r="R4" s="34" t="s">
        <v>142</v>
      </c>
      <c r="S4" s="55">
        <f>v7_</f>
        <v>0.8</v>
      </c>
      <c r="T4" s="36" t="str">
        <f>'Data summary'!G8</f>
        <v>A</v>
      </c>
      <c r="U4" s="54" t="s">
        <v>143</v>
      </c>
      <c r="V4" s="73">
        <f>IF('B- Generated by san facility'!F4="R", 'B- Generated by san facility'!E9,IF(W4="R",v8_,P4*S4))</f>
        <v>2.6457495147952441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(Kiribati,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0.11212390605765639</v>
      </c>
      <c r="C4" s="29" t="str">
        <f>'Data summary'!G10</f>
        <v>E</v>
      </c>
      <c r="D4" s="152" t="s">
        <v>145</v>
      </c>
      <c r="E4" s="76">
        <f>IF($F$4="R",v14_,IF('A- Total generated'!W4="R",'A- Total generated'!$V$4*'B- Generated by san facility'!B4,IF(B4&lt;=v2_,v1_*v4_*B4*v7_,IF(B4&gt;v2_,v1_*v4_*v2_*v7_+v1_*v5_*(B4-v2_)*v7_))/1000000*365))</f>
        <v>0.46928202962986998</v>
      </c>
      <c r="F4" s="77" t="str">
        <f>'Data summary'!G15</f>
        <v>C</v>
      </c>
      <c r="G4" s="156" t="s">
        <v>60</v>
      </c>
      <c r="H4" s="78">
        <f>v14_ / v8_</f>
        <v>0.17737204981646304</v>
      </c>
      <c r="I4" s="77" t="s">
        <v>5</v>
      </c>
      <c r="J4" s="79" t="s">
        <v>37</v>
      </c>
    </row>
    <row r="5" spans="1:12" x14ac:dyDescent="0.35">
      <c r="A5" s="51" t="s">
        <v>54</v>
      </c>
      <c r="B5" s="63">
        <f>v10_</f>
        <v>0.32848189315849241</v>
      </c>
      <c r="C5" s="29" t="str">
        <f>'Data summary'!G11</f>
        <v>E</v>
      </c>
      <c r="D5" s="152" t="s">
        <v>146</v>
      </c>
      <c r="E5" s="76">
        <f>IF($F$4="R",E4*B5/B4,IF('A- Total generated'!W4="R",'A- Total generated'!$V$4*'B- Generated by san facility'!B5,IF(SUM(B4:B5)&lt;=v2_,v1_*v4_*B5*v7_,IF(B4&gt;v2_,v1_*v5_*B5*v7_,v1_*v4_*SUM(v2_-B4)*v7_+v1_*v5_*(B5+B4-v2_)*v7_))/1000000*365))</f>
        <v>1.3748241114505237</v>
      </c>
      <c r="F5" s="77" t="str">
        <f>'Data summary'!G16</f>
        <v>C</v>
      </c>
      <c r="G5" s="156" t="s">
        <v>61</v>
      </c>
      <c r="H5" s="78">
        <f>v15_ / v8_</f>
        <v>0.51963502780151871</v>
      </c>
      <c r="I5" s="77" t="s">
        <v>5</v>
      </c>
      <c r="J5" s="79" t="s">
        <v>38</v>
      </c>
    </row>
    <row r="6" spans="1:12" x14ac:dyDescent="0.35">
      <c r="A6" s="48" t="s">
        <v>1</v>
      </c>
      <c r="B6" s="63">
        <f>v11_</f>
        <v>0.18046184884446193</v>
      </c>
      <c r="C6" s="29" t="str">
        <f>'Data summary'!G12</f>
        <v>E</v>
      </c>
      <c r="D6" s="152" t="s">
        <v>147</v>
      </c>
      <c r="E6" s="76">
        <f>IF($F$4="R",E4*B6/B4,IF('A- Total generated'!W4="R",'A- Total generated'!$V$4*'B- Generated by san facility'!B6,IF(SUM(B4:B6)&lt;=v2_,v1_*v4_*B6*v7_,IF(SUM(B4:B5)&gt;v2_,v1_*v5_*B6*v7_,v1_*v4_*SUM(v2_-B4-B5)*v7_+v1_*v5_*(B6+B5+B4-v2_)*v7_))/1000000*365))</f>
        <v>0.53731357838648963</v>
      </c>
      <c r="F6" s="77" t="str">
        <f>'Data summary'!G17</f>
        <v>C</v>
      </c>
      <c r="G6" s="156" t="s">
        <v>150</v>
      </c>
      <c r="H6" s="78">
        <f>v16_ / v8_</f>
        <v>0.20308557573573</v>
      </c>
      <c r="I6" s="77" t="s">
        <v>5</v>
      </c>
      <c r="J6" s="79" t="s">
        <v>39</v>
      </c>
    </row>
    <row r="7" spans="1:12" x14ac:dyDescent="0.35">
      <c r="A7" s="48" t="s">
        <v>2</v>
      </c>
      <c r="B7" s="63">
        <f>v12_</f>
        <v>8.1219322417532644E-2</v>
      </c>
      <c r="C7" s="29" t="str">
        <f>'Data summary'!G13</f>
        <v>E</v>
      </c>
      <c r="D7" s="152" t="s">
        <v>148</v>
      </c>
      <c r="E7" s="76">
        <f>IF($F$4="R",E4*B7/B4,IF('A- Total generated'!W4="R",'A- Total generated'!$V$4*'B- Generated by san facility'!B7,IF(SUM(B4:B7)&lt;=v2_,v1_*v4_*B7*v7_,IF(SUM(B4:B6)&gt;v2_,v1_*v5_*B7*v7_,v1_*v4_*SUM(v2_-B4-B5-B6)*v7_+v1_*v5_*(B7+B6+B5+B4-v2_)*v7_))/1000000*365))</f>
        <v>5.6655726997926641E-2</v>
      </c>
      <c r="F7" s="77" t="str">
        <f>'Data summary'!G18</f>
        <v>C</v>
      </c>
      <c r="G7" s="156" t="s">
        <v>151</v>
      </c>
      <c r="H7" s="78">
        <f>v17_ / v8_</f>
        <v>2.1413865981050755E-2</v>
      </c>
      <c r="I7" s="77" t="s">
        <v>5</v>
      </c>
      <c r="J7" s="79" t="s">
        <v>40</v>
      </c>
    </row>
    <row r="8" spans="1:12" ht="16" thickBot="1" x14ac:dyDescent="0.4">
      <c r="A8" s="49" t="s">
        <v>3</v>
      </c>
      <c r="B8" s="64">
        <f>v13_</f>
        <v>0.29771302952185663</v>
      </c>
      <c r="C8" s="30" t="str">
        <f>'Data summary'!G14</f>
        <v>E</v>
      </c>
      <c r="D8" s="33" t="s">
        <v>149</v>
      </c>
      <c r="E8" s="76">
        <f>IF($F$4="R",E4*B8/B4,IF('A- Total generated'!W4="R",'A- Total generated'!$V$4*'B- Generated by san facility'!B8,IF(SUM(B4:B8)&lt;=v2_,v1_*v4_*B8*v7_,IF(SUM(B4:B7)&gt;v2_,v1_*v5_*B8*v7_,v1_*v4_*SUM(v2_-B4-B5-B6-B7)*v7_+v1_*v5_*(B8+B7+B6+B5+B4-v2_)*v7_))/1000000*365))</f>
        <v>0.20767408077606553</v>
      </c>
      <c r="F8" s="77" t="str">
        <f>'Data summary'!G19</f>
        <v>C</v>
      </c>
      <c r="G8" s="156" t="s">
        <v>152</v>
      </c>
      <c r="H8" s="80">
        <f>v18_ / v8_</f>
        <v>7.8493477308920007E-2</v>
      </c>
      <c r="I8" s="77" t="s">
        <v>5</v>
      </c>
      <c r="J8" s="81" t="s">
        <v>41</v>
      </c>
    </row>
    <row r="9" spans="1:12" ht="16" thickBot="1" x14ac:dyDescent="0.4">
      <c r="A9" s="13"/>
      <c r="B9" s="13"/>
      <c r="C9" s="13"/>
      <c r="D9" s="17" t="s">
        <v>6</v>
      </c>
      <c r="E9" s="82">
        <f>SUM(E4:E8)</f>
        <v>2.6457495272408753</v>
      </c>
      <c r="F9" s="83" t="str">
        <f>'Data summary'!G9</f>
        <v>C</v>
      </c>
      <c r="G9" s="157" t="s">
        <v>144</v>
      </c>
      <c r="H9" s="84">
        <f>SUM(H4:H8)</f>
        <v>0.99999999664368244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(Kiribati,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0.46928202962986998</v>
      </c>
      <c r="C4" s="77" t="str">
        <f>v99_</f>
        <v>C</v>
      </c>
      <c r="D4" s="109" t="s">
        <v>60</v>
      </c>
      <c r="E4" s="78">
        <f>v14_ / v8_</f>
        <v>0.17737204981646304</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1.3748241662979126</v>
      </c>
      <c r="C5" s="108" t="str">
        <f>'Data summary'!G16</f>
        <v>C</v>
      </c>
      <c r="D5" s="113" t="s">
        <v>61</v>
      </c>
      <c r="E5" s="80">
        <f>v15_ / v8_</f>
        <v>0.51963502780151871</v>
      </c>
      <c r="F5" s="108" t="s">
        <v>5</v>
      </c>
      <c r="G5" s="114" t="s">
        <v>38</v>
      </c>
      <c r="H5" s="115">
        <f>v22_</f>
        <v>0.5</v>
      </c>
      <c r="I5" s="118" t="str">
        <f>'Data summary'!G23</f>
        <v>A</v>
      </c>
      <c r="J5" s="120" t="s">
        <v>63</v>
      </c>
      <c r="K5" s="18"/>
      <c r="L5" s="19"/>
      <c r="M5" s="19"/>
      <c r="N5" s="115">
        <f>v24_</f>
        <v>4.4000000000000004E-2</v>
      </c>
      <c r="O5" s="116" t="str">
        <f>'Data summary'!G25</f>
        <v>R</v>
      </c>
      <c r="P5" s="120" t="s">
        <v>65</v>
      </c>
      <c r="Q5" s="115">
        <f>v25_</f>
        <v>0.113</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1.3748241662979126</v>
      </c>
      <c r="C6" s="92" t="str">
        <f>'Data summary'!G16</f>
        <v>C</v>
      </c>
      <c r="D6" s="110" t="s">
        <v>61</v>
      </c>
      <c r="E6" s="101">
        <f>v15_ / v8_</f>
        <v>0.51963502780151871</v>
      </c>
      <c r="F6" s="92" t="s">
        <v>5</v>
      </c>
      <c r="G6" s="81" t="s">
        <v>38</v>
      </c>
      <c r="H6" s="67">
        <f>v22_</f>
        <v>0.5</v>
      </c>
      <c r="I6" s="38" t="str">
        <f>'Data summary'!G23</f>
        <v>A</v>
      </c>
      <c r="J6" s="37" t="s">
        <v>63</v>
      </c>
      <c r="K6" s="66">
        <f>v23_</f>
        <v>5.7000000000000002E-2</v>
      </c>
      <c r="L6" s="39" t="str">
        <f>'Data summary'!G24</f>
        <v>R</v>
      </c>
      <c r="M6" s="121" t="s">
        <v>64</v>
      </c>
      <c r="N6" s="122"/>
      <c r="O6" s="123"/>
      <c r="P6" s="124"/>
      <c r="Q6" s="122"/>
      <c r="R6" s="123"/>
      <c r="S6" s="124"/>
      <c r="T6" s="66">
        <f>v26_</f>
        <v>0.78700000000000003</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(Kiribati,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0.46928202962986998</v>
      </c>
      <c r="D3" s="89" t="str">
        <f>'Data summary'!G15</f>
        <v>C</v>
      </c>
      <c r="E3" s="140" t="s">
        <v>60</v>
      </c>
      <c r="F3" s="90">
        <f>C3/$C$6</f>
        <v>0.17737204981646304</v>
      </c>
      <c r="G3" s="125" t="s">
        <v>5</v>
      </c>
      <c r="H3" s="94" t="s">
        <v>37</v>
      </c>
      <c r="I3" s="90">
        <f>C3/C3</f>
        <v>1</v>
      </c>
      <c r="J3" s="125" t="s">
        <v>5</v>
      </c>
      <c r="K3" s="94" t="s">
        <v>108</v>
      </c>
    </row>
    <row r="4" spans="1:12" ht="31" x14ac:dyDescent="0.35">
      <c r="A4" s="190"/>
      <c r="B4" s="133" t="s">
        <v>59</v>
      </c>
      <c r="C4" s="136">
        <f>v15_</f>
        <v>1.3748241662979126</v>
      </c>
      <c r="D4" s="77" t="str">
        <f>'Data summary'!G16</f>
        <v>C</v>
      </c>
      <c r="E4" s="139" t="s">
        <v>61</v>
      </c>
      <c r="F4" s="91">
        <f>C4/$C$6</f>
        <v>0.51963502780151871</v>
      </c>
      <c r="G4" s="126" t="s">
        <v>5</v>
      </c>
      <c r="H4" s="95" t="s">
        <v>38</v>
      </c>
      <c r="I4" s="91">
        <f>C4/C4</f>
        <v>1</v>
      </c>
      <c r="J4" s="126" t="s">
        <v>5</v>
      </c>
      <c r="K4" s="95" t="s">
        <v>109</v>
      </c>
    </row>
    <row r="5" spans="1:12" ht="46.5" x14ac:dyDescent="0.35">
      <c r="A5" s="190"/>
      <c r="B5" s="133" t="s">
        <v>57</v>
      </c>
      <c r="C5" s="136">
        <f>SUM(v16_,v17_,v18_)</f>
        <v>0.80164339393377304</v>
      </c>
      <c r="D5" s="77" t="str">
        <f>'Data summary'!G17</f>
        <v>C</v>
      </c>
      <c r="E5" s="139" t="s">
        <v>48</v>
      </c>
      <c r="F5" s="91">
        <f>C5/$C$6</f>
        <v>0.30299291902570075</v>
      </c>
      <c r="G5" s="126" t="s">
        <v>5</v>
      </c>
      <c r="H5" s="97" t="s">
        <v>92</v>
      </c>
      <c r="I5" s="91">
        <f>C5/C5</f>
        <v>1</v>
      </c>
      <c r="J5" s="126" t="s">
        <v>5</v>
      </c>
      <c r="K5" s="97" t="s">
        <v>110</v>
      </c>
    </row>
    <row r="6" spans="1:12" ht="74.25" customHeight="1" thickBot="1" x14ac:dyDescent="0.4">
      <c r="A6" s="198"/>
      <c r="B6" s="134" t="s">
        <v>112</v>
      </c>
      <c r="C6" s="137">
        <f>v8_</f>
        <v>2.6457495987415314</v>
      </c>
      <c r="D6" s="108" t="str">
        <f>'Data summary'!G9</f>
        <v>C</v>
      </c>
      <c r="E6" s="131" t="s">
        <v>107</v>
      </c>
      <c r="F6" s="98">
        <f>SUM(F3:F5)</f>
        <v>0.99999999664368255</v>
      </c>
      <c r="G6" s="127" t="s">
        <v>5</v>
      </c>
      <c r="H6" s="96" t="s">
        <v>111</v>
      </c>
      <c r="I6" s="98" t="s">
        <v>16</v>
      </c>
      <c r="J6" s="127"/>
      <c r="K6" s="96" t="s">
        <v>16</v>
      </c>
    </row>
    <row r="7" spans="1:12" ht="74.25" customHeight="1" x14ac:dyDescent="0.35">
      <c r="A7" s="187" t="s">
        <v>46</v>
      </c>
      <c r="B7" s="132" t="s">
        <v>128</v>
      </c>
      <c r="C7" s="135">
        <f>v14_*v19_</f>
        <v>0.46928202962986998</v>
      </c>
      <c r="D7" s="89" t="str">
        <f>'Data summary'!G30</f>
        <v>C</v>
      </c>
      <c r="E7" s="140" t="s">
        <v>113</v>
      </c>
      <c r="F7" s="90">
        <f>C7/C6</f>
        <v>0.17737204981646304</v>
      </c>
      <c r="G7" s="125" t="s">
        <v>5</v>
      </c>
      <c r="H7" s="94" t="s">
        <v>93</v>
      </c>
      <c r="I7" s="90">
        <f>C7/C3</f>
        <v>1</v>
      </c>
      <c r="J7" s="125" t="s">
        <v>5</v>
      </c>
      <c r="K7" s="94" t="s">
        <v>96</v>
      </c>
    </row>
    <row r="8" spans="1:12" ht="74.25" customHeight="1" x14ac:dyDescent="0.35">
      <c r="A8" s="190"/>
      <c r="B8" s="133" t="s">
        <v>114</v>
      </c>
      <c r="C8" s="136">
        <f>v15_*v22_*v25_*v27_</f>
        <v>7.7677565395832066E-2</v>
      </c>
      <c r="D8" s="77" t="str">
        <f>'Data summary'!G31</f>
        <v>C</v>
      </c>
      <c r="E8" s="139" t="s">
        <v>115</v>
      </c>
      <c r="F8" s="91">
        <f>C8/C6</f>
        <v>2.9359379070785809E-2</v>
      </c>
      <c r="G8" s="126" t="s">
        <v>5</v>
      </c>
      <c r="H8" s="95" t="s">
        <v>94</v>
      </c>
      <c r="I8" s="91">
        <f>C8/C4</f>
        <v>5.6500000000000002E-2</v>
      </c>
      <c r="J8" s="126" t="s">
        <v>5</v>
      </c>
      <c r="K8" s="95" t="s">
        <v>97</v>
      </c>
    </row>
    <row r="9" spans="1:12" ht="74.25" customHeight="1" x14ac:dyDescent="0.35">
      <c r="A9" s="190"/>
      <c r="B9" s="133" t="s">
        <v>124</v>
      </c>
      <c r="C9" s="136">
        <f>v15_*v22_*(v23_+v26_)</f>
        <v>0.58017579817771914</v>
      </c>
      <c r="D9" s="77" t="str">
        <f>'Data summary'!G32</f>
        <v>C</v>
      </c>
      <c r="E9" s="139" t="s">
        <v>116</v>
      </c>
      <c r="F9" s="91">
        <f>C9/C6</f>
        <v>0.2192859817322409</v>
      </c>
      <c r="G9" s="126" t="s">
        <v>5</v>
      </c>
      <c r="H9" s="97" t="s">
        <v>95</v>
      </c>
      <c r="I9" s="91">
        <f>C9/C4</f>
        <v>0.42200000000000004</v>
      </c>
      <c r="J9" s="126" t="s">
        <v>5</v>
      </c>
      <c r="K9" s="97" t="s">
        <v>98</v>
      </c>
    </row>
    <row r="10" spans="1:12" ht="40" customHeight="1" thickBot="1" x14ac:dyDescent="0.4">
      <c r="A10" s="191"/>
      <c r="B10" s="134" t="s">
        <v>117</v>
      </c>
      <c r="C10" s="137">
        <f>v32_</f>
        <v>1.1271353960037231</v>
      </c>
      <c r="D10" s="108" t="str">
        <f>'Data summary'!G33</f>
        <v>C</v>
      </c>
      <c r="E10" s="131" t="s">
        <v>118</v>
      </c>
      <c r="F10" s="98">
        <f>C10/C6</f>
        <v>0.42601741167790508</v>
      </c>
      <c r="G10" s="127" t="s">
        <v>5</v>
      </c>
      <c r="H10" s="96" t="s">
        <v>49</v>
      </c>
      <c r="I10" s="130" t="s">
        <v>16</v>
      </c>
      <c r="J10" s="127"/>
      <c r="K10" s="96" t="s">
        <v>16</v>
      </c>
    </row>
    <row r="11" spans="1:12" ht="50.25" customHeight="1" x14ac:dyDescent="0.35">
      <c r="A11" s="179" t="s">
        <v>47</v>
      </c>
      <c r="B11" s="132" t="s">
        <v>125</v>
      </c>
      <c r="C11" s="146">
        <f>v29_*v20_</f>
        <v>0.23464101552963257</v>
      </c>
      <c r="D11" s="59" t="str">
        <f>'Data summary'!G34</f>
        <v>C</v>
      </c>
      <c r="E11" s="150" t="s">
        <v>119</v>
      </c>
      <c r="F11" s="61">
        <f>v33_/v8_</f>
        <v>8.868602517836198E-2</v>
      </c>
      <c r="G11" s="59" t="str">
        <f>'Data summary'!G38</f>
        <v>C</v>
      </c>
      <c r="H11" s="41" t="s">
        <v>103</v>
      </c>
      <c r="I11" s="128">
        <f>C11/C3</f>
        <v>0.50000000152295965</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0.58017581701278687</v>
      </c>
      <c r="D13" s="143" t="str">
        <f>'Data summary'!G36</f>
        <v>C</v>
      </c>
      <c r="E13" s="151" t="s">
        <v>121</v>
      </c>
      <c r="F13" s="62">
        <f>v35_/v8_</f>
        <v>0.21928598885123196</v>
      </c>
      <c r="G13" s="143" t="str">
        <f>'Data summary'!G40</f>
        <v>C</v>
      </c>
      <c r="H13" s="152" t="s">
        <v>105</v>
      </c>
      <c r="I13" s="129">
        <f>C13/C4</f>
        <v>0.42200001369998302</v>
      </c>
      <c r="J13" s="144" t="s">
        <v>5</v>
      </c>
      <c r="K13" s="97" t="s">
        <v>91</v>
      </c>
    </row>
    <row r="14" spans="1:12" ht="105" customHeight="1" x14ac:dyDescent="0.35">
      <c r="A14" s="192"/>
      <c r="B14" s="153" t="s">
        <v>122</v>
      </c>
      <c r="C14" s="149">
        <f>v36_</f>
        <v>0.81481683254241943</v>
      </c>
      <c r="D14" s="145" t="str">
        <f>'Data summary'!G37</f>
        <v>C</v>
      </c>
      <c r="E14" s="151" t="s">
        <v>123</v>
      </c>
      <c r="F14" s="155" t="str">
        <f>IF(LEFT(C15,2)="No","Insufficient data","COUNTRY ESTIMATE (SDG 6.3.1): "&amp;TEXT(SUM(F11:F13),"0.0%"))</f>
        <v>COUNTRY ESTIMATE (SDG 6.3.1): 30.8%</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119.44599914550781</v>
      </c>
      <c r="F2" s="104" t="s">
        <v>197</v>
      </c>
      <c r="G2" s="105" t="s">
        <v>201</v>
      </c>
      <c r="H2" s="5">
        <v>2020</v>
      </c>
      <c r="I2" s="104" t="s">
        <v>205</v>
      </c>
      <c r="J2" s="104"/>
    </row>
    <row r="3" spans="1:10" x14ac:dyDescent="0.35">
      <c r="A3" s="104" t="s">
        <v>155</v>
      </c>
      <c r="B3" s="104" t="s">
        <v>156</v>
      </c>
      <c r="C3" s="5">
        <v>2</v>
      </c>
      <c r="D3" s="16" t="s">
        <v>158</v>
      </c>
      <c r="E3" s="159">
        <v>0.55856756333521285</v>
      </c>
      <c r="F3" s="16" t="s">
        <v>198</v>
      </c>
      <c r="G3" s="105" t="s">
        <v>201</v>
      </c>
      <c r="H3" s="5">
        <v>2020</v>
      </c>
      <c r="I3" s="104" t="s">
        <v>206</v>
      </c>
      <c r="J3" s="104"/>
    </row>
    <row r="4" spans="1:10" x14ac:dyDescent="0.35">
      <c r="A4" s="104" t="s">
        <v>155</v>
      </c>
      <c r="B4" s="104" t="s">
        <v>156</v>
      </c>
      <c r="C4" s="5">
        <v>3</v>
      </c>
      <c r="D4" s="16" t="s">
        <v>159</v>
      </c>
      <c r="E4" s="159">
        <v>0.44143241882324219</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3.3071870803833008</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2.6457495987415314</v>
      </c>
      <c r="F9" s="104" t="s">
        <v>200</v>
      </c>
      <c r="G9" s="106" t="s">
        <v>5</v>
      </c>
      <c r="I9" s="104" t="s">
        <v>208</v>
      </c>
      <c r="J9" s="104"/>
    </row>
    <row r="10" spans="1:10" x14ac:dyDescent="0.35">
      <c r="A10" s="104" t="s">
        <v>155</v>
      </c>
      <c r="B10" s="104" t="s">
        <v>156</v>
      </c>
      <c r="C10" s="5">
        <v>9</v>
      </c>
      <c r="D10" s="16" t="s">
        <v>165</v>
      </c>
      <c r="E10" s="159">
        <v>0.11212390605765639</v>
      </c>
      <c r="F10" s="16" t="s">
        <v>198</v>
      </c>
      <c r="G10" s="105" t="s">
        <v>201</v>
      </c>
      <c r="H10" s="5">
        <v>2020</v>
      </c>
      <c r="I10" s="104" t="s">
        <v>206</v>
      </c>
      <c r="J10" s="104"/>
    </row>
    <row r="11" spans="1:10" x14ac:dyDescent="0.35">
      <c r="A11" s="104" t="s">
        <v>155</v>
      </c>
      <c r="B11" s="104" t="s">
        <v>156</v>
      </c>
      <c r="C11" s="5">
        <v>10</v>
      </c>
      <c r="D11" s="16" t="s">
        <v>166</v>
      </c>
      <c r="E11" s="159">
        <v>0.32848189315849241</v>
      </c>
      <c r="F11" s="16" t="s">
        <v>198</v>
      </c>
      <c r="G11" s="105" t="s">
        <v>201</v>
      </c>
      <c r="H11" s="5">
        <v>2020</v>
      </c>
      <c r="I11" s="104" t="s">
        <v>206</v>
      </c>
      <c r="J11" s="104"/>
    </row>
    <row r="12" spans="1:10" x14ac:dyDescent="0.35">
      <c r="A12" s="104" t="s">
        <v>155</v>
      </c>
      <c r="B12" s="104" t="s">
        <v>156</v>
      </c>
      <c r="C12" s="5">
        <v>11</v>
      </c>
      <c r="D12" s="16" t="s">
        <v>167</v>
      </c>
      <c r="E12" s="159">
        <v>0.18046184884446193</v>
      </c>
      <c r="F12" s="16" t="s">
        <v>198</v>
      </c>
      <c r="G12" s="105" t="s">
        <v>201</v>
      </c>
      <c r="H12" s="5">
        <v>2020</v>
      </c>
      <c r="I12" s="104" t="s">
        <v>206</v>
      </c>
      <c r="J12" s="104"/>
    </row>
    <row r="13" spans="1:10" x14ac:dyDescent="0.35">
      <c r="A13" s="104" t="s">
        <v>155</v>
      </c>
      <c r="B13" s="104" t="s">
        <v>156</v>
      </c>
      <c r="C13" s="5">
        <v>12</v>
      </c>
      <c r="D13" s="16" t="s">
        <v>168</v>
      </c>
      <c r="E13" s="159">
        <v>8.1219322417532644E-2</v>
      </c>
      <c r="F13" s="16" t="s">
        <v>198</v>
      </c>
      <c r="G13" s="105" t="s">
        <v>201</v>
      </c>
      <c r="H13" s="5">
        <v>2020</v>
      </c>
      <c r="I13" s="104" t="s">
        <v>206</v>
      </c>
      <c r="J13" s="104"/>
    </row>
    <row r="14" spans="1:10" x14ac:dyDescent="0.35">
      <c r="A14" s="104" t="s">
        <v>155</v>
      </c>
      <c r="B14" s="104" t="s">
        <v>156</v>
      </c>
      <c r="C14" s="5">
        <v>13</v>
      </c>
      <c r="D14" s="16" t="s">
        <v>169</v>
      </c>
      <c r="E14" s="159">
        <v>0.29771302952185663</v>
      </c>
      <c r="F14" s="16" t="s">
        <v>198</v>
      </c>
      <c r="G14" s="106" t="s">
        <v>201</v>
      </c>
      <c r="H14" s="5">
        <v>2020</v>
      </c>
      <c r="I14" s="104" t="s">
        <v>206</v>
      </c>
      <c r="J14" s="104"/>
    </row>
    <row r="15" spans="1:10" x14ac:dyDescent="0.35">
      <c r="A15" s="104" t="s">
        <v>155</v>
      </c>
      <c r="B15" s="104" t="s">
        <v>156</v>
      </c>
      <c r="C15" s="5">
        <v>14</v>
      </c>
      <c r="D15" s="16" t="s">
        <v>170</v>
      </c>
      <c r="E15" s="161">
        <v>0.46928202962986998</v>
      </c>
      <c r="F15" s="104" t="s">
        <v>200</v>
      </c>
      <c r="G15" s="107" t="s">
        <v>5</v>
      </c>
      <c r="I15" s="104" t="s">
        <v>208</v>
      </c>
      <c r="J15" s="104"/>
    </row>
    <row r="16" spans="1:10" x14ac:dyDescent="0.35">
      <c r="A16" s="104" t="s">
        <v>155</v>
      </c>
      <c r="B16" s="104" t="s">
        <v>156</v>
      </c>
      <c r="C16" s="5">
        <v>15</v>
      </c>
      <c r="D16" s="16" t="s">
        <v>171</v>
      </c>
      <c r="E16" s="161">
        <v>1.3748241662979126</v>
      </c>
      <c r="F16" s="104" t="s">
        <v>200</v>
      </c>
      <c r="G16" s="107" t="s">
        <v>5</v>
      </c>
      <c r="I16" s="104" t="s">
        <v>208</v>
      </c>
      <c r="J16" s="104"/>
    </row>
    <row r="17" spans="1:10" x14ac:dyDescent="0.35">
      <c r="A17" s="104" t="s">
        <v>155</v>
      </c>
      <c r="B17" s="104" t="s">
        <v>156</v>
      </c>
      <c r="C17" s="5">
        <v>16</v>
      </c>
      <c r="D17" s="16" t="s">
        <v>172</v>
      </c>
      <c r="E17" s="161">
        <v>0.53731358051300049</v>
      </c>
      <c r="F17" s="104" t="s">
        <v>200</v>
      </c>
      <c r="G17" s="107" t="s">
        <v>5</v>
      </c>
      <c r="I17" s="104" t="s">
        <v>208</v>
      </c>
      <c r="J17" s="104"/>
    </row>
    <row r="18" spans="1:10" x14ac:dyDescent="0.35">
      <c r="A18" s="104" t="s">
        <v>155</v>
      </c>
      <c r="B18" s="104" t="s">
        <v>156</v>
      </c>
      <c r="C18" s="5">
        <v>17</v>
      </c>
      <c r="D18" s="16" t="s">
        <v>173</v>
      </c>
      <c r="E18" s="161">
        <v>5.6655727326869965E-2</v>
      </c>
      <c r="F18" s="104" t="s">
        <v>200</v>
      </c>
      <c r="G18" s="107" t="s">
        <v>5</v>
      </c>
      <c r="I18" s="104" t="s">
        <v>208</v>
      </c>
      <c r="J18" s="104"/>
    </row>
    <row r="19" spans="1:10" x14ac:dyDescent="0.35">
      <c r="A19" s="104" t="s">
        <v>155</v>
      </c>
      <c r="B19" s="104" t="s">
        <v>156</v>
      </c>
      <c r="C19" s="5">
        <v>18</v>
      </c>
      <c r="D19" s="16" t="s">
        <v>174</v>
      </c>
      <c r="E19" s="161">
        <v>0.20767408609390259</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5.7000000000000002E-2</v>
      </c>
      <c r="F24" s="16" t="s">
        <v>198</v>
      </c>
      <c r="G24" s="105" t="s">
        <v>204</v>
      </c>
      <c r="H24" s="5">
        <v>2019</v>
      </c>
      <c r="I24" s="104" t="s">
        <v>209</v>
      </c>
      <c r="J24" s="104"/>
    </row>
    <row r="25" spans="1:10" x14ac:dyDescent="0.35">
      <c r="A25" s="104" t="s">
        <v>155</v>
      </c>
      <c r="B25" s="104" t="s">
        <v>156</v>
      </c>
      <c r="C25" s="5">
        <v>24</v>
      </c>
      <c r="D25" s="16" t="s">
        <v>180</v>
      </c>
      <c r="E25" s="159">
        <v>4.4000000000000004E-2</v>
      </c>
      <c r="F25" s="16" t="s">
        <v>198</v>
      </c>
      <c r="G25" s="105" t="s">
        <v>204</v>
      </c>
      <c r="H25" s="5">
        <v>2019</v>
      </c>
      <c r="I25" s="104" t="s">
        <v>209</v>
      </c>
      <c r="J25" s="104"/>
    </row>
    <row r="26" spans="1:10" x14ac:dyDescent="0.35">
      <c r="A26" s="104" t="s">
        <v>155</v>
      </c>
      <c r="B26" s="104" t="s">
        <v>156</v>
      </c>
      <c r="C26" s="5">
        <v>25</v>
      </c>
      <c r="D26" s="16" t="s">
        <v>181</v>
      </c>
      <c r="E26" s="159">
        <v>0.113</v>
      </c>
      <c r="F26" s="16" t="s">
        <v>198</v>
      </c>
      <c r="G26" s="105" t="s">
        <v>204</v>
      </c>
      <c r="H26" s="5">
        <v>2019</v>
      </c>
      <c r="I26" s="104" t="s">
        <v>209</v>
      </c>
      <c r="J26" s="104"/>
    </row>
    <row r="27" spans="1:10" x14ac:dyDescent="0.35">
      <c r="A27" s="104" t="s">
        <v>155</v>
      </c>
      <c r="B27" s="104" t="s">
        <v>156</v>
      </c>
      <c r="C27" s="5">
        <v>26</v>
      </c>
      <c r="D27" s="16" t="s">
        <v>182</v>
      </c>
      <c r="E27" s="159">
        <v>0.78700000000000003</v>
      </c>
      <c r="F27" s="16" t="s">
        <v>198</v>
      </c>
      <c r="G27" s="105" t="s">
        <v>204</v>
      </c>
      <c r="H27" s="5">
        <v>2019</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0.46928203105926514</v>
      </c>
      <c r="F30" s="104" t="s">
        <v>200</v>
      </c>
      <c r="G30" s="107" t="s">
        <v>5</v>
      </c>
      <c r="I30" s="104" t="s">
        <v>208</v>
      </c>
      <c r="J30" s="104"/>
    </row>
    <row r="31" spans="1:10" x14ac:dyDescent="0.35">
      <c r="A31" s="104" t="s">
        <v>155</v>
      </c>
      <c r="B31" s="104" t="s">
        <v>156</v>
      </c>
      <c r="C31" s="5">
        <v>30</v>
      </c>
      <c r="D31" s="16" t="s">
        <v>186</v>
      </c>
      <c r="E31" s="161">
        <v>7.7677562832832336E-2</v>
      </c>
      <c r="F31" s="104" t="s">
        <v>200</v>
      </c>
      <c r="G31" s="107" t="s">
        <v>5</v>
      </c>
      <c r="I31" s="104" t="s">
        <v>208</v>
      </c>
      <c r="J31" s="104"/>
    </row>
    <row r="32" spans="1:10" x14ac:dyDescent="0.35">
      <c r="A32" s="104" t="s">
        <v>155</v>
      </c>
      <c r="B32" s="104" t="s">
        <v>156</v>
      </c>
      <c r="C32" s="5">
        <v>31</v>
      </c>
      <c r="D32" s="16" t="s">
        <v>187</v>
      </c>
      <c r="E32" s="161">
        <v>0.58017581701278687</v>
      </c>
      <c r="F32" s="104" t="s">
        <v>200</v>
      </c>
      <c r="G32" s="107" t="s">
        <v>5</v>
      </c>
      <c r="I32" s="104" t="s">
        <v>208</v>
      </c>
      <c r="J32" s="104"/>
    </row>
    <row r="33" spans="1:10" x14ac:dyDescent="0.35">
      <c r="A33" s="104" t="s">
        <v>155</v>
      </c>
      <c r="B33" s="104" t="s">
        <v>156</v>
      </c>
      <c r="C33" s="5">
        <v>32</v>
      </c>
      <c r="D33" s="16" t="s">
        <v>188</v>
      </c>
      <c r="E33" s="161">
        <v>1.1271353960037231</v>
      </c>
      <c r="F33" s="104" t="s">
        <v>200</v>
      </c>
      <c r="G33" s="107" t="s">
        <v>5</v>
      </c>
      <c r="I33" s="104" t="s">
        <v>208</v>
      </c>
      <c r="J33" s="104"/>
    </row>
    <row r="34" spans="1:10" x14ac:dyDescent="0.35">
      <c r="A34" s="104" t="s">
        <v>155</v>
      </c>
      <c r="B34" s="104" t="s">
        <v>156</v>
      </c>
      <c r="C34" s="5">
        <v>33</v>
      </c>
      <c r="D34" s="16" t="s">
        <v>189</v>
      </c>
      <c r="E34" s="161">
        <v>0.23464101552963257</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0.58017581701278687</v>
      </c>
      <c r="F36" s="104" t="s">
        <v>200</v>
      </c>
      <c r="G36" s="107" t="s">
        <v>5</v>
      </c>
      <c r="I36" s="104" t="s">
        <v>208</v>
      </c>
      <c r="J36" s="104"/>
    </row>
    <row r="37" spans="1:10" x14ac:dyDescent="0.35">
      <c r="A37" s="104" t="s">
        <v>155</v>
      </c>
      <c r="B37" s="104" t="s">
        <v>156</v>
      </c>
      <c r="C37" s="5">
        <v>36</v>
      </c>
      <c r="D37" s="16" t="s">
        <v>192</v>
      </c>
      <c r="E37" s="161">
        <v>0.81481683254241943</v>
      </c>
      <c r="F37" s="104" t="s">
        <v>200</v>
      </c>
      <c r="G37" s="107" t="s">
        <v>5</v>
      </c>
      <c r="I37" s="104" t="s">
        <v>208</v>
      </c>
      <c r="J37" s="104"/>
    </row>
    <row r="38" spans="1:10" x14ac:dyDescent="0.35">
      <c r="A38" s="104" t="s">
        <v>155</v>
      </c>
      <c r="B38" s="104" t="s">
        <v>156</v>
      </c>
      <c r="C38" s="5">
        <v>37</v>
      </c>
      <c r="D38" s="16" t="s">
        <v>193</v>
      </c>
      <c r="E38" s="159">
        <v>8.8686027526855463E-2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0.21928598403930663</v>
      </c>
      <c r="F40" s="16" t="s">
        <v>198</v>
      </c>
      <c r="G40" s="107" t="s">
        <v>5</v>
      </c>
      <c r="I40" s="104" t="s">
        <v>208</v>
      </c>
      <c r="J40" s="104"/>
    </row>
    <row r="41" spans="1:10" x14ac:dyDescent="0.35">
      <c r="A41" s="104" t="s">
        <v>155</v>
      </c>
      <c r="B41" s="104" t="s">
        <v>156</v>
      </c>
      <c r="C41" s="5">
        <v>40</v>
      </c>
      <c r="D41" s="16" t="s">
        <v>196</v>
      </c>
      <c r="E41" s="159">
        <v>0.30797201156616211</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5.7</v>
      </c>
      <c r="F2" s="8" t="s">
        <v>220</v>
      </c>
      <c r="G2" s="44" t="s">
        <v>204</v>
      </c>
      <c r="H2" s="15">
        <v>2019</v>
      </c>
      <c r="I2" s="8" t="s">
        <v>209</v>
      </c>
      <c r="J2" s="8" t="s">
        <v>222</v>
      </c>
      <c r="K2" s="8"/>
      <c r="L2" s="8"/>
      <c r="M2" s="5"/>
    </row>
    <row r="3" spans="1:13" x14ac:dyDescent="0.35">
      <c r="A3" s="8" t="s">
        <v>155</v>
      </c>
      <c r="B3" s="8" t="s">
        <v>156</v>
      </c>
      <c r="C3" s="141" t="s">
        <v>180</v>
      </c>
      <c r="D3" s="8" t="s">
        <v>216</v>
      </c>
      <c r="E3">
        <v>4.4000000000000004</v>
      </c>
      <c r="F3" s="8" t="s">
        <v>220</v>
      </c>
      <c r="G3" s="44" t="s">
        <v>204</v>
      </c>
      <c r="H3" s="15">
        <v>2019</v>
      </c>
      <c r="I3" s="8" t="s">
        <v>209</v>
      </c>
      <c r="J3" s="8" t="s">
        <v>222</v>
      </c>
      <c r="K3" s="8"/>
      <c r="L3" s="8"/>
      <c r="M3" s="5"/>
    </row>
    <row r="4" spans="1:13" x14ac:dyDescent="0.35">
      <c r="A4" s="8" t="s">
        <v>155</v>
      </c>
      <c r="B4" s="8" t="s">
        <v>156</v>
      </c>
      <c r="C4" s="141" t="s">
        <v>211</v>
      </c>
      <c r="D4" s="8" t="s">
        <v>217</v>
      </c>
      <c r="E4">
        <v>11.3</v>
      </c>
      <c r="F4" s="8" t="s">
        <v>220</v>
      </c>
      <c r="G4" s="44" t="s">
        <v>204</v>
      </c>
      <c r="H4" s="15">
        <v>2019</v>
      </c>
      <c r="I4" s="8" t="s">
        <v>209</v>
      </c>
      <c r="J4" s="8" t="s">
        <v>222</v>
      </c>
      <c r="K4" s="8"/>
      <c r="L4" s="8"/>
      <c r="M4" s="5"/>
    </row>
    <row r="5" spans="1:13" x14ac:dyDescent="0.35">
      <c r="A5" s="8" t="s">
        <v>155</v>
      </c>
      <c r="B5" s="8" t="s">
        <v>156</v>
      </c>
      <c r="C5" s="141" t="s">
        <v>212</v>
      </c>
      <c r="D5" s="8" t="s">
        <v>218</v>
      </c>
      <c r="E5">
        <v>78.7</v>
      </c>
      <c r="F5" s="8" t="s">
        <v>220</v>
      </c>
      <c r="G5" s="44" t="s">
        <v>204</v>
      </c>
      <c r="H5" s="15">
        <v>2019</v>
      </c>
      <c r="I5" s="8" t="s">
        <v>209</v>
      </c>
      <c r="J5" s="8" t="s">
        <v>222</v>
      </c>
      <c r="K5" s="8"/>
      <c r="L5" s="8"/>
      <c r="M5" s="5"/>
    </row>
    <row r="6" spans="1:13" x14ac:dyDescent="0.35">
      <c r="A6" s="8" t="s">
        <v>155</v>
      </c>
      <c r="B6" s="8" t="s">
        <v>156</v>
      </c>
      <c r="C6" s="141" t="s">
        <v>213</v>
      </c>
      <c r="D6" s="8" t="s">
        <v>219</v>
      </c>
      <c r="E6">
        <v>9.9</v>
      </c>
      <c r="F6" s="8" t="s">
        <v>220</v>
      </c>
      <c r="G6" s="44" t="s">
        <v>208</v>
      </c>
      <c r="H6" s="15">
        <v>2019</v>
      </c>
      <c r="I6" s="8" t="s">
        <v>221</v>
      </c>
      <c r="J6" s="8" t="s">
        <v>208</v>
      </c>
      <c r="K6" s="8"/>
      <c r="L6" s="8"/>
      <c r="M6" s="5"/>
    </row>
    <row r="7" spans="1:13" x14ac:dyDescent="0.35">
      <c r="A7" s="8" t="s">
        <v>155</v>
      </c>
      <c r="B7" s="8" t="s">
        <v>156</v>
      </c>
      <c r="C7" s="141" t="s">
        <v>214</v>
      </c>
      <c r="D7" s="8" t="s">
        <v>219</v>
      </c>
      <c r="E7">
        <v>34.5</v>
      </c>
      <c r="F7" s="8" t="s">
        <v>220</v>
      </c>
      <c r="G7" s="44" t="s">
        <v>208</v>
      </c>
      <c r="H7" s="15">
        <v>2019</v>
      </c>
      <c r="I7" s="8" t="s">
        <v>221</v>
      </c>
      <c r="J7" s="8" t="s">
        <v>208</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2021-08-06T08:41:50Z</dcterms:modified>
</cp:coreProperties>
</file>