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E8" i="9" s="1"/>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A1" i="6" s="1"/>
  <c r="C15" i="6" l="1"/>
  <c r="F14" i="6" s="1"/>
  <c r="C5" i="1"/>
  <c r="E7" i="9"/>
  <c r="E9" i="9" s="1"/>
  <c r="F8" i="6"/>
</calcChain>
</file>

<file path=xl/sharedStrings.xml><?xml version="1.0" encoding="utf-8"?>
<sst xmlns="http://schemas.openxmlformats.org/spreadsheetml/2006/main" count="620" uniqueCount="243">
  <si>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</si>
  <si>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</si>
  <si>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</si>
  <si>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</si>
  <si>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</si>
  <si>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</si>
  <si>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</si>
  <si>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</si>
  <si>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</si>
  <si>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</si>
  <si>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</si>
  <si>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</si>
  <si>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</si>
  <si>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</si>
  <si>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</si>
  <si>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</si>
  <si>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</si>
  <si>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</si>
  <si>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</si>
  <si>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</si>
  <si>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</si>
  <si>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</si>
  <si>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</si>
  <si>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</si>
  <si>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</si>
  <si>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</si>
  <si>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</si>
  <si>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</si>
  <si>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</si>
  <si>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</si>
  <si>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</si>
  <si>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</si>
  <si>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</si>
  <si>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</si>
  <si>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</si>
  <si>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</si>
  <si>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</si>
  <si>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</si>
  <si>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</si>
  <si>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</si>
  <si>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</si>
  <si>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</si>
  <si>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</si>
  <si>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</si>
  <si>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</si>
  <si>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</si>
  <si>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</si>
  <si>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</si>
  <si>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</si>
  <si>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</si>
  <si>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</si>
  <si>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</si>
  <si>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</si>
  <si>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</si>
  <si>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</si>
  <si>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</si>
  <si>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</si>
  <si>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</si>
  <si>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</si>
  <si>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</si>
  <si>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</si>
  <si>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</si>
  <si>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</si>
  <si>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</si>
  <si>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</si>
  <si>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</si>
  <si>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</si>
  <si>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</si>
  <si>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</si>
  <si>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</si>
  <si>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</si>
  <si>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</si>
  <si>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</si>
  <si>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</si>
  <si>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</si>
  <si>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</si>
  <si>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</si>
  <si>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</si>
  <si>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</si>
  <si>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</si>
  <si>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</si>
  <si>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</si>
  <si>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</si>
  <si>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</si>
  <si>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</si>
  <si>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</si>
  <si>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</si>
  <si>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</si>
  <si>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</si>
  <si>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</si>
  <si>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</si>
  <si>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</si>
  <si>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</si>
  <si>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</si>
  <si>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</si>
  <si>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</si>
  <si>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</si>
  <si>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</si>
  <si>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</si>
  <si>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</si>
  <si>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</si>
  <si>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</si>
  <si>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</si>
  <si>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</si>
  <si>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</si>
  <si>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</si>
  <si>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</si>
  <si>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</si>
  <si>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</si>
  <si>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</si>
  <si>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</si>
  <si>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</si>
  <si>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</si>
  <si>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</si>
  <si>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</si>
  <si>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</si>
  <si>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</si>
  <si>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</si>
  <si>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</si>
  <si>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</si>
  <si>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</si>
  <si>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</si>
  <si>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</si>
  <si>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</si>
  <si>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</si>
  <si>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</si>
  <si>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</si>
  <si>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</si>
  <si>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</si>
  <si>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</si>
  <si>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</si>
  <si>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</si>
  <si>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</si>
  <si>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</si>
  <si>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</si>
  <si>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</si>
  <si>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</si>
  <si>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</si>
  <si>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</si>
  <si>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</si>
  <si>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</si>
  <si>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</si>
  <si>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</si>
  <si>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</si>
  <si>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</si>
  <si>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</si>
  <si>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</si>
  <si>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</si>
  <si>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</si>
  <si>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</si>
  <si>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</si>
  <si>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</si>
  <si>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</si>
  <si>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</si>
  <si>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</si>
  <si>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CAN</t>
  </si>
  <si>
    <t>Canada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</si>
  <si>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</si>
  <si>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</si>
  <si>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</si>
  <si>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</si>
  <si>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</si>
  <si>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</si>
  <si>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</si>
  <si>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</si>
  <si>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</si>
  <si>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</si>
  <si>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</si>
  <si>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</si>
  <si>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</si>
  <si>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</si>
  <si>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</si>
  <si>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</si>
  <si>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</si>
  <si>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</si>
  <si>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</si>
  <si>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</si>
  <si>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</si>
  <si>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</si>
  <si>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</si>
  <si>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</si>
  <si>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</si>
  <si>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</si>
  <si>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</si>
  <si>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</si>
  <si>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</si>
  <si>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</si>
  <si>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</si>
  <si>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</si>
  <si>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</si>
  <si>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</si>
  <si>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</si>
  <si>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</si>
  <si>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</si>
  <si>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</si>
  <si>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</si>
  <si>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</si>
  <si>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</si>
  <si>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</si>
  <si>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</si>
  <si>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</si>
  <si>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</si>
  <si>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</si>
  <si>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</si>
  <si>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</si>
  <si>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jmp_2021_can_canada.xlsx</t>
  </si>
  <si>
    <t>Default assumption</t>
  </si>
  <si>
    <t/>
  </si>
  <si>
    <t>Statistics Canada / https://www150.statcan.gc.ca/n1/pub/11-627-m/11-627-m2019023-eng.htm</t>
  </si>
  <si>
    <t>Statistics Canada - Municipal Wastewater Treatment Data</t>
  </si>
  <si>
    <t>Statistics Canada - Household Environment Survey (JMP 2021)</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</si>
  <si>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</si>
  <si>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</si>
  <si>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</si>
  <si>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</si>
  <si>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</si>
  <si>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</si>
  <si>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</si>
  <si>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</si>
  <si>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</si>
  <si>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</si>
  <si>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</si>
  <si>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</si>
  <si>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</si>
  <si>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</si>
  <si>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</si>
  <si>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</si>
  <si>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</si>
  <si>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</si>
  <si>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wastewater (by volume) delivered to treatment systems with tertiary treatment</t>
  </si>
  <si>
    <t>Proportion of population connected to treatment systems with tertiary treatment</t>
  </si>
  <si>
    <t>19</t>
  </si>
  <si>
    <t>20</t>
  </si>
  <si>
    <t>22</t>
  </si>
  <si>
    <t>Not used</t>
  </si>
  <si>
    <t>%</t>
  </si>
  <si>
    <t>m3/year</t>
  </si>
  <si>
    <t>OECD stats</t>
  </si>
  <si>
    <t>Numerator: Primary, secondary, and tertiary treated discharge volumes; Denominator: Primary, secondary, tertiary flows + combined sewer overflows and no treatment; Pri: 1,535; Sec: 2,827; Tert: 1,442; No treat: 106; CSO: 164 [million m3)</t>
  </si>
  <si>
    <t>Calculations as per JMP 2021</t>
  </si>
  <si>
    <t>Calculated based on proportion of population connected to wastewater treatment and sewers respectively.</t>
  </si>
  <si>
    <t>Calculated as the sum of volume of wastewater discharged by primary (1535), secondary (2827) and tertiary (1442) treatment = 5804 million m3/year (excluding wastewater streams not treated and combined sewer overflows)</t>
  </si>
  <si>
    <t>Computed as the sum of 2827 (sec) + 1442 (tert)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</si>
</sst>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Canada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(Canada,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37742.15625</v>
      </c>
      <c r="B4" s="32" t="str">
        <f>'Data summary'!G2</f>
        <v>E</v>
      </c>
      <c r="C4" s="33" t="s">
        <v>137</v>
      </c>
      <c r="D4" s="56">
        <f>v2_</f>
        <v>0.99038947268437783</v>
      </c>
      <c r="E4" s="32" t="str">
        <f>'Data summary'!G3</f>
        <v>E</v>
      </c>
      <c r="F4" s="34" t="s">
        <v>138</v>
      </c>
      <c r="G4" s="57">
        <f>v3_</f>
        <v>9.6105271577835091E-3</v>
      </c>
      <c r="H4" s="32" t="str">
        <f>'Data summary'!G4</f>
        <v>E</v>
      </c>
      <c r="I4" s="34" t="s">
        <v>139</v>
      </c>
      <c r="J4" s="35">
        <f>v4_</f>
        <v>120</v>
      </c>
      <c r="K4" s="32" t="str">
        <f>'Data summary'!G5</f>
        <v>A</v>
      </c>
      <c r="L4" s="34" t="s">
        <v>140</v>
      </c>
      <c r="M4" s="35">
        <f>v5_</f>
        <v>20</v>
      </c>
      <c r="N4" s="36" t="str">
        <f>'Data summary'!G6</f>
        <v>A</v>
      </c>
      <c r="O4" s="34" t="s">
        <v>141</v>
      </c>
      <c r="P4" s="72">
        <f>A4*D4*J4*365/1000000 + A4*G4*M4*365/1000000</f>
        <v>1639.8670898454372</v>
      </c>
      <c r="Q4" s="36" t="str">
        <f>'Data summary'!G7</f>
        <v>C</v>
      </c>
      <c r="R4" s="34" t="s">
        <v>142</v>
      </c>
      <c r="S4" s="55">
        <f>v7_</f>
        <v>0.8</v>
      </c>
      <c r="T4" s="36" t="str">
        <f>'Data summary'!G8</f>
        <v>A</v>
      </c>
      <c r="U4" s="54" t="s">
        <v>143</v>
      </c>
      <c r="V4" s="73">
        <f>IF('B- Generated by san facility'!F4="R", 'B- Generated by san facility'!E9,IF(W4="R",v8_,P4*S4))</f>
        <v>1311.8936718763498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(Canada,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0.81455350845146512</v>
      </c>
      <c r="C4" s="29" t="str">
        <f>'Data summary'!G10</f>
        <v>E</v>
      </c>
      <c r="D4" s="152" t="s">
        <v>145</v>
      </c>
      <c r="E4" s="76">
        <f>IF($F$4="R",v14_,IF('A- Total generated'!W4="R",'A- Total generated'!$V$4*'B- Generated by san facility'!B4,IF(B4&lt;=v2_,v1_*v4_*B4*v7_,IF(B4&gt;v2_,v1_*v4_*v2_*v7_+v1_*v5_*(B4-v2_)*v7_))/1000000*365))</f>
        <v>1077.2349228802298</v>
      </c>
      <c r="F4" s="77" t="str">
        <f>'Data summary'!G15</f>
        <v>C</v>
      </c>
      <c r="G4" s="156" t="s">
        <v>60</v>
      </c>
      <c r="H4" s="78">
        <f>v14_ / v8_</f>
        <v>0.82112974042873088</v>
      </c>
      <c r="I4" s="77" t="s">
        <v>5</v>
      </c>
      <c r="J4" s="79" t="s">
        <v>37</v>
      </c>
    </row>
    <row r="5" spans="1:12" x14ac:dyDescent="0.35">
      <c r="A5" s="51" t="s">
        <v>54</v>
      </c>
      <c r="B5" s="63">
        <f>v10_</f>
        <v>0.11313668875048891</v>
      </c>
      <c r="C5" s="29" t="str">
        <f>'Data summary'!G11</f>
        <v>E</v>
      </c>
      <c r="D5" s="152" t="s">
        <v>146</v>
      </c>
      <c r="E5" s="76">
        <f>IF($F$4="R",E4*B5/B4,IF('A- Total generated'!W4="R",'A- Total generated'!$V$4*'B- Generated by san facility'!B5,IF(SUM(B4:B5)&lt;=v2_,v1_*v4_*B5*v7_,IF(B4&gt;v2_,v1_*v5_*B5*v7_,v1_*v4_*SUM(v2_-B4)*v7_+v1_*v5_*(B5+B4-v2_)*v7_))/1000000*365))</f>
        <v>149.62159135837706</v>
      </c>
      <c r="F5" s="77" t="str">
        <f>'Data summary'!G16</f>
        <v>C</v>
      </c>
      <c r="G5" s="156" t="s">
        <v>61</v>
      </c>
      <c r="H5" s="78">
        <f>v15_ / v8_</f>
        <v>0.11405009319305338</v>
      </c>
      <c r="I5" s="77" t="s">
        <v>5</v>
      </c>
      <c r="J5" s="79" t="s">
        <v>38</v>
      </c>
    </row>
    <row r="6" spans="1:12" x14ac:dyDescent="0.35">
      <c r="A6" s="48" t="s">
        <v>1</v>
      </c>
      <c r="B6" s="63">
        <f>v11_</f>
        <v>6.26384185778011E-2</v>
      </c>
      <c r="C6" s="29" t="str">
        <f>'Data summary'!G12</f>
        <v>E</v>
      </c>
      <c r="D6" s="152" t="s">
        <v>147</v>
      </c>
      <c r="E6" s="76">
        <f>IF($F$4="R",E4*B6/B4,IF('A- Total generated'!W4="R",'A- Total generated'!$V$4*'B- Generated by san facility'!B6,IF(SUM(B4:B6)&lt;=v2_,v1_*v4_*B6*v7_,IF(SUM(B4:B5)&gt;v2_,v1_*v5_*B6*v7_,v1_*v4_*SUM(v2_-B4-B5)*v7_+v1_*v5_*(B6+B5+B4-v2_)*v7_))/1000000*365))</f>
        <v>82.838378701818172</v>
      </c>
      <c r="F6" s="77" t="str">
        <f>'Data summary'!G17</f>
        <v>C</v>
      </c>
      <c r="G6" s="156" t="s">
        <v>150</v>
      </c>
      <c r="H6" s="78">
        <f>v16_ / v8_</f>
        <v>6.3144124948118399E-2</v>
      </c>
      <c r="I6" s="77" t="s">
        <v>5</v>
      </c>
      <c r="J6" s="79" t="s">
        <v>39</v>
      </c>
    </row>
    <row r="7" spans="1:12" x14ac:dyDescent="0.35">
      <c r="A7" s="48" t="s">
        <v>2</v>
      </c>
      <c r="B7" s="63">
        <f>v12_</f>
        <v>9.671384220244968E-3</v>
      </c>
      <c r="C7" s="29" t="str">
        <f>'Data summary'!G13</f>
        <v>E</v>
      </c>
      <c r="D7" s="152" t="s">
        <v>148</v>
      </c>
      <c r="E7" s="76">
        <f>IF($F$4="R",E4*B7/B4,IF('A- Total generated'!W4="R",'A- Total generated'!$V$4*'B- Generated by san facility'!B7,IF(SUM(B4:B7)&lt;=v2_,v1_*v4_*B7*v7_,IF(SUM(B4:B6)&gt;v2_,v1_*v5_*B7*v7_,v1_*v4_*SUM(v2_-B4-B5-B6)*v7_+v1_*v5_*(B7+B6+B5+B4-v2_)*v7_))/1000000*365))</f>
        <v>2.1987789707148182</v>
      </c>
      <c r="F7" s="77" t="str">
        <f>'Data summary'!G18</f>
        <v>C</v>
      </c>
      <c r="G7" s="156" t="s">
        <v>151</v>
      </c>
      <c r="H7" s="78">
        <f>v17_ / v8_</f>
        <v>1.6760343380671484E-3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1311.8936719111398</v>
      </c>
      <c r="F9" s="83" t="str">
        <f>'Data summary'!G9</f>
        <v>C</v>
      </c>
      <c r="G9" s="157" t="s">
        <v>144</v>
      </c>
      <c r="H9" s="84">
        <f>SUM(H4:H8)</f>
        <v>0.99999999290796981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(Canada,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1077.2349228802298</v>
      </c>
      <c r="C4" s="77" t="str">
        <f>v99_</f>
        <v>C</v>
      </c>
      <c r="D4" s="109" t="s">
        <v>60</v>
      </c>
      <c r="E4" s="78">
        <f>v14_ / v8_</f>
        <v>0.82112974042873088</v>
      </c>
      <c r="F4" s="77" t="s">
        <v>5</v>
      </c>
      <c r="G4" s="79" t="s">
        <v>37</v>
      </c>
      <c r="H4" s="18"/>
      <c r="I4" s="19"/>
      <c r="J4" s="20"/>
      <c r="K4" s="18"/>
      <c r="L4" s="19"/>
      <c r="M4" s="19"/>
      <c r="N4" s="18"/>
      <c r="O4" s="19"/>
      <c r="P4" s="20"/>
      <c r="Q4" s="18"/>
      <c r="R4" s="19"/>
      <c r="S4" s="20"/>
      <c r="T4" s="19"/>
      <c r="U4" s="19"/>
      <c r="V4" s="19"/>
      <c r="W4" s="68">
        <f>v19_</f>
        <v>0.95599999999999996</v>
      </c>
      <c r="X4" s="40" t="str">
        <f>'Data summary'!G20</f>
        <v>R</v>
      </c>
      <c r="Y4" s="158" t="s">
        <v>153</v>
      </c>
      <c r="Z4" s="65">
        <f>v20_</f>
        <v>0.85299999999999998</v>
      </c>
      <c r="AA4" s="40" t="str">
        <f>'Data summary'!G21</f>
        <v>R</v>
      </c>
      <c r="AB4" s="158" t="s">
        <v>154</v>
      </c>
    </row>
    <row r="5" spans="1:28" x14ac:dyDescent="0.35">
      <c r="A5" s="111" t="s">
        <v>72</v>
      </c>
      <c r="B5" s="112">
        <f>v15_</f>
        <v>149.62159729003906</v>
      </c>
      <c r="C5" s="108" t="str">
        <f>'Data summary'!G16</f>
        <v>C</v>
      </c>
      <c r="D5" s="113" t="s">
        <v>61</v>
      </c>
      <c r="E5" s="80">
        <f>v15_ / v8_</f>
        <v>0.11405009319305338</v>
      </c>
      <c r="F5" s="108" t="s">
        <v>5</v>
      </c>
      <c r="G5" s="114" t="s">
        <v>38</v>
      </c>
      <c r="H5" s="115">
        <f>v22_</f>
        <v>0.95599999999999996</v>
      </c>
      <c r="I5" s="118" t="str">
        <f>'Data summary'!G23</f>
        <v>R</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0.85300003051757811</v>
      </c>
      <c r="AA5" s="119" t="str">
        <f>'Data summary'!G29</f>
        <v>A</v>
      </c>
      <c r="AB5" s="120" t="s">
        <v>69</v>
      </c>
    </row>
    <row r="6" spans="1:28" ht="16" thickBot="1" x14ac:dyDescent="0.4">
      <c r="A6" s="103" t="s">
        <v>73</v>
      </c>
      <c r="B6" s="100">
        <f>v15_</f>
        <v>149.62159729003906</v>
      </c>
      <c r="C6" s="92" t="str">
        <f>'Data summary'!G16</f>
        <v>C</v>
      </c>
      <c r="D6" s="110" t="s">
        <v>61</v>
      </c>
      <c r="E6" s="101">
        <f>v15_ / v8_</f>
        <v>0.11405009319305338</v>
      </c>
      <c r="F6" s="92" t="s">
        <v>5</v>
      </c>
      <c r="G6" s="81" t="s">
        <v>38</v>
      </c>
      <c r="H6" s="67">
        <f>v22_</f>
        <v>0.95599999999999996</v>
      </c>
      <c r="I6" s="38" t="str">
        <f>'Data summary'!G23</f>
        <v>R</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(Canada,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1077.2349228802298</v>
      </c>
      <c r="D3" s="89" t="str">
        <f>'Data summary'!G15</f>
        <v>C</v>
      </c>
      <c r="E3" s="140" t="s">
        <v>60</v>
      </c>
      <c r="F3" s="90">
        <f>C3/$C$6</f>
        <v>0.82112974042873088</v>
      </c>
      <c r="G3" s="125" t="s">
        <v>5</v>
      </c>
      <c r="H3" s="94" t="s">
        <v>37</v>
      </c>
      <c r="I3" s="90">
        <f>C3/C3</f>
        <v>1</v>
      </c>
      <c r="J3" s="125" t="s">
        <v>5</v>
      </c>
      <c r="K3" s="94" t="s">
        <v>108</v>
      </c>
    </row>
    <row r="4" spans="1:12" ht="31" x14ac:dyDescent="0.35">
      <c r="A4" s="190"/>
      <c r="B4" s="133" t="s">
        <v>59</v>
      </c>
      <c r="C4" s="136">
        <f>v15_</f>
        <v>149.62159729003906</v>
      </c>
      <c r="D4" s="77" t="str">
        <f>'Data summary'!G16</f>
        <v>C</v>
      </c>
      <c r="E4" s="139" t="s">
        <v>61</v>
      </c>
      <c r="F4" s="91">
        <f>C4/$C$6</f>
        <v>0.11405009319305338</v>
      </c>
      <c r="G4" s="126" t="s">
        <v>5</v>
      </c>
      <c r="H4" s="95" t="s">
        <v>38</v>
      </c>
      <c r="I4" s="91">
        <f>C4/C4</f>
        <v>1</v>
      </c>
      <c r="J4" s="126" t="s">
        <v>5</v>
      </c>
      <c r="K4" s="95" t="s">
        <v>109</v>
      </c>
    </row>
    <row r="5" spans="1:12" ht="46.5" x14ac:dyDescent="0.35">
      <c r="A5" s="190"/>
      <c r="B5" s="133" t="s">
        <v>57</v>
      </c>
      <c r="C5" s="136">
        <f>SUM(v16_,v17_,v18_)</f>
        <v>85.037157773971558</v>
      </c>
      <c r="D5" s="77" t="str">
        <f>'Data summary'!G17</f>
        <v>C</v>
      </c>
      <c r="E5" s="139" t="s">
        <v>48</v>
      </c>
      <c r="F5" s="91">
        <f>C5/$C$6</f>
        <v>6.482015928618555E-2</v>
      </c>
      <c r="G5" s="126" t="s">
        <v>5</v>
      </c>
      <c r="H5" s="97" t="s">
        <v>92</v>
      </c>
      <c r="I5" s="91">
        <f>C5/C5</f>
        <v>1</v>
      </c>
      <c r="J5" s="126" t="s">
        <v>5</v>
      </c>
      <c r="K5" s="97" t="s">
        <v>110</v>
      </c>
    </row>
    <row r="6" spans="1:12" ht="74.25" customHeight="1" thickBot="1" x14ac:dyDescent="0.4">
      <c r="A6" s="198"/>
      <c r="B6" s="134" t="s">
        <v>112</v>
      </c>
      <c r="C6" s="137">
        <f>v8_</f>
        <v>1311.89368724823</v>
      </c>
      <c r="D6" s="108" t="str">
        <f>'Data summary'!G9</f>
        <v>C</v>
      </c>
      <c r="E6" s="131" t="s">
        <v>107</v>
      </c>
      <c r="F6" s="98">
        <f>SUM(F3:F5)</f>
        <v>0.99999999290796981</v>
      </c>
      <c r="G6" s="127" t="s">
        <v>5</v>
      </c>
      <c r="H6" s="96" t="s">
        <v>111</v>
      </c>
      <c r="I6" s="98" t="s">
        <v>16</v>
      </c>
      <c r="J6" s="127"/>
      <c r="K6" s="96" t="s">
        <v>16</v>
      </c>
    </row>
    <row r="7" spans="1:12" ht="74.25" customHeight="1" x14ac:dyDescent="0.35">
      <c r="A7" s="187" t="s">
        <v>46</v>
      </c>
      <c r="B7" s="132" t="s">
        <v>128</v>
      </c>
      <c r="C7" s="135">
        <f>v14_*v19_</f>
        <v>1029.8365862734995</v>
      </c>
      <c r="D7" s="89" t="str">
        <f>'Data summary'!G30</f>
        <v>C</v>
      </c>
      <c r="E7" s="140" t="s">
        <v>113</v>
      </c>
      <c r="F7" s="90">
        <f>C7/C6</f>
        <v>0.78500003184986666</v>
      </c>
      <c r="G7" s="125" t="s">
        <v>5</v>
      </c>
      <c r="H7" s="94" t="s">
        <v>93</v>
      </c>
      <c r="I7" s="90">
        <f>C7/C3</f>
        <v>0.95599999999999985</v>
      </c>
      <c r="J7" s="125" t="s">
        <v>5</v>
      </c>
      <c r="K7" s="94" t="s">
        <v>96</v>
      </c>
    </row>
    <row r="8" spans="1:12" ht="74.25" customHeight="1" x14ac:dyDescent="0.35">
      <c r="A8" s="190"/>
      <c r="B8" s="133" t="s">
        <v>114</v>
      </c>
      <c r="C8" s="136">
        <f>v15_*v22_*v25_*v27_</f>
        <v>71.519123504638671</v>
      </c>
      <c r="D8" s="77" t="str">
        <f>'Data summary'!G31</f>
        <v>C</v>
      </c>
      <c r="E8" s="139" t="s">
        <v>115</v>
      </c>
      <c r="F8" s="91">
        <f>C8/C6</f>
        <v>5.4515944546279518E-2</v>
      </c>
      <c r="G8" s="126" t="s">
        <v>5</v>
      </c>
      <c r="H8" s="95" t="s">
        <v>94</v>
      </c>
      <c r="I8" s="91">
        <f>C8/C4</f>
        <v>0.47799999999999998</v>
      </c>
      <c r="J8" s="126" t="s">
        <v>5</v>
      </c>
      <c r="K8" s="95" t="s">
        <v>97</v>
      </c>
    </row>
    <row r="9" spans="1:12" ht="74.25" customHeight="1" x14ac:dyDescent="0.35">
      <c r="A9" s="190"/>
      <c r="B9" s="133" t="s">
        <v>124</v>
      </c>
      <c r="C9" s="136">
        <f>v15_*v22_*(v23_+v26_)</f>
        <v>71.519123504638671</v>
      </c>
      <c r="D9" s="77" t="str">
        <f>'Data summary'!G32</f>
        <v>C</v>
      </c>
      <c r="E9" s="139" t="s">
        <v>116</v>
      </c>
      <c r="F9" s="91">
        <f>C9/C6</f>
        <v>5.4515944546279518E-2</v>
      </c>
      <c r="G9" s="126" t="s">
        <v>5</v>
      </c>
      <c r="H9" s="97" t="s">
        <v>95</v>
      </c>
      <c r="I9" s="91">
        <f>C9/C4</f>
        <v>0.47799999999999998</v>
      </c>
      <c r="J9" s="126" t="s">
        <v>5</v>
      </c>
      <c r="K9" s="97" t="s">
        <v>98</v>
      </c>
    </row>
    <row r="10" spans="1:12" ht="40" customHeight="1" thickBot="1" x14ac:dyDescent="0.4">
      <c r="A10" s="191"/>
      <c r="B10" s="134" t="s">
        <v>117</v>
      </c>
      <c r="C10" s="137">
        <f>v32_</f>
        <v>1172.874755859375</v>
      </c>
      <c r="D10" s="108" t="str">
        <f>'Data summary'!G33</f>
        <v>C</v>
      </c>
      <c r="E10" s="131" t="s">
        <v>118</v>
      </c>
      <c r="F10" s="98">
        <f>C10/C6</f>
        <v>0.89403186192590434</v>
      </c>
      <c r="G10" s="127" t="s">
        <v>5</v>
      </c>
      <c r="H10" s="96" t="s">
        <v>49</v>
      </c>
      <c r="I10" s="130" t="s">
        <v>16</v>
      </c>
      <c r="J10" s="127"/>
      <c r="K10" s="96" t="s">
        <v>16</v>
      </c>
    </row>
    <row r="11" spans="1:12" ht="50.25" customHeight="1" x14ac:dyDescent="0.35">
      <c r="A11" s="179" t="s">
        <v>47</v>
      </c>
      <c r="B11" s="132" t="s">
        <v>125</v>
      </c>
      <c r="C11" s="146">
        <f>v29_*v20_</f>
        <v>878.4505753173828</v>
      </c>
      <c r="D11" s="59" t="str">
        <f>'Data summary'!G34</f>
        <v>C</v>
      </c>
      <c r="E11" s="150" t="s">
        <v>119</v>
      </c>
      <c r="F11" s="61">
        <f>v33_/v8_</f>
        <v>0.66960499167126597</v>
      </c>
      <c r="G11" s="59" t="str">
        <f>'Data summary'!G38</f>
        <v>C</v>
      </c>
      <c r="H11" s="41" t="s">
        <v>103</v>
      </c>
      <c r="I11" s="128">
        <f>C11/C3</f>
        <v>0.81546796957589129</v>
      </c>
      <c r="J11" s="147" t="s">
        <v>5</v>
      </c>
      <c r="K11" s="93" t="s">
        <v>99</v>
      </c>
    </row>
    <row r="12" spans="1:12" ht="46.5" x14ac:dyDescent="0.35">
      <c r="A12" s="192"/>
      <c r="B12" s="133" t="s">
        <v>126</v>
      </c>
      <c r="C12" s="138">
        <f>v30_*v28_</f>
        <v>61.005817421543178</v>
      </c>
      <c r="D12" s="143" t="str">
        <f>'Data summary'!G35</f>
        <v>C</v>
      </c>
      <c r="E12" s="151" t="s">
        <v>120</v>
      </c>
      <c r="F12" s="62">
        <f>v34_/v8_</f>
        <v>4.6502104557948724E-2</v>
      </c>
      <c r="G12" s="143" t="str">
        <f>'Data summary'!G39</f>
        <v>C</v>
      </c>
      <c r="H12" s="152" t="s">
        <v>104</v>
      </c>
      <c r="I12" s="129">
        <f>C12/C4</f>
        <v>0.40773403389942686</v>
      </c>
      <c r="J12" s="144" t="s">
        <v>5</v>
      </c>
      <c r="K12" s="148" t="s">
        <v>100</v>
      </c>
    </row>
    <row r="13" spans="1:12" ht="46.5" x14ac:dyDescent="0.35">
      <c r="A13" s="192"/>
      <c r="B13" s="133" t="s">
        <v>127</v>
      </c>
      <c r="C13" s="138">
        <f>v31_*100%</f>
        <v>71.519126892089844</v>
      </c>
      <c r="D13" s="143" t="str">
        <f>'Data summary'!G36</f>
        <v>C</v>
      </c>
      <c r="E13" s="151" t="s">
        <v>121</v>
      </c>
      <c r="F13" s="62">
        <f>v35_/v8_</f>
        <v>5.4515947128387511E-2</v>
      </c>
      <c r="G13" s="143" t="str">
        <f>'Data summary'!G40</f>
        <v>C</v>
      </c>
      <c r="H13" s="152" t="s">
        <v>105</v>
      </c>
      <c r="I13" s="129">
        <f>C13/C4</f>
        <v>0.4780000226401217</v>
      </c>
      <c r="J13" s="144" t="s">
        <v>5</v>
      </c>
      <c r="K13" s="97" t="s">
        <v>91</v>
      </c>
    </row>
    <row r="14" spans="1:12" ht="105" customHeight="1" x14ac:dyDescent="0.35">
      <c r="A14" s="192"/>
      <c r="B14" s="153" t="s">
        <v>122</v>
      </c>
      <c r="C14" s="149">
        <f>v36_</f>
        <v>1010.9755249023438</v>
      </c>
      <c r="D14" s="145" t="str">
        <f>'Data summary'!G37</f>
        <v>C</v>
      </c>
      <c r="E14" s="151" t="s">
        <v>123</v>
      </c>
      <c r="F14" s="155" t="str">
        <f>IF(LEFT(C15,2)="No","Insufficient data","COUNTRY ESTIMATE (SDG 6.3.1): "&amp;TEXT(SUM(F11:F13),"0.0%"))</f>
        <v>COUNTRY ESTIMATE (SDG 6.3.1): 77.1%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37742.15625</v>
      </c>
      <c r="F2" s="104" t="s">
        <v>197</v>
      </c>
      <c r="G2" s="105" t="s">
        <v>201</v>
      </c>
      <c r="H2" s="5">
        <v>2020</v>
      </c>
      <c r="I2" s="104" t="s">
        <v>204</v>
      </c>
      <c r="J2" s="104"/>
    </row>
    <row r="3" spans="1:10" x14ac:dyDescent="0.35">
      <c r="A3" s="104" t="s">
        <v>155</v>
      </c>
      <c r="B3" s="104" t="s">
        <v>156</v>
      </c>
      <c r="C3" s="5">
        <v>2</v>
      </c>
      <c r="D3" s="16" t="s">
        <v>158</v>
      </c>
      <c r="E3" s="159">
        <v>0.99038947268437783</v>
      </c>
      <c r="F3" s="16" t="s">
        <v>198</v>
      </c>
      <c r="G3" s="105" t="s">
        <v>201</v>
      </c>
      <c r="H3" s="5">
        <v>2020</v>
      </c>
      <c r="I3" s="104" t="s">
        <v>205</v>
      </c>
      <c r="J3" s="104"/>
    </row>
    <row r="4" spans="1:10" x14ac:dyDescent="0.35">
      <c r="A4" s="104" t="s">
        <v>155</v>
      </c>
      <c r="B4" s="104" t="s">
        <v>156</v>
      </c>
      <c r="C4" s="5">
        <v>3</v>
      </c>
      <c r="D4" s="16" t="s">
        <v>159</v>
      </c>
      <c r="E4" s="159">
        <v>9.6105271577835091E-3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1639.8670654296875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1311.89368724823</v>
      </c>
      <c r="F9" s="104" t="s">
        <v>200</v>
      </c>
      <c r="G9" s="106" t="s">
        <v>5</v>
      </c>
      <c r="I9" s="104" t="s">
        <v>207</v>
      </c>
      <c r="J9" s="104"/>
    </row>
    <row r="10" spans="1:10" x14ac:dyDescent="0.35">
      <c r="A10" s="104" t="s">
        <v>155</v>
      </c>
      <c r="B10" s="104" t="s">
        <v>156</v>
      </c>
      <c r="C10" s="5">
        <v>9</v>
      </c>
      <c r="D10" s="16" t="s">
        <v>165</v>
      </c>
      <c r="E10" s="159">
        <v>0.81455350845146512</v>
      </c>
      <c r="F10" s="16" t="s">
        <v>198</v>
      </c>
      <c r="G10" s="105" t="s">
        <v>201</v>
      </c>
      <c r="H10" s="5">
        <v>2020</v>
      </c>
      <c r="I10" s="104" t="s">
        <v>205</v>
      </c>
      <c r="J10" s="104"/>
    </row>
    <row r="11" spans="1:10" x14ac:dyDescent="0.35">
      <c r="A11" s="104" t="s">
        <v>155</v>
      </c>
      <c r="B11" s="104" t="s">
        <v>156</v>
      </c>
      <c r="C11" s="5">
        <v>10</v>
      </c>
      <c r="D11" s="16" t="s">
        <v>166</v>
      </c>
      <c r="E11" s="159">
        <v>0.11313668875048891</v>
      </c>
      <c r="F11" s="16" t="s">
        <v>198</v>
      </c>
      <c r="G11" s="105" t="s">
        <v>201</v>
      </c>
      <c r="H11" s="5">
        <v>2020</v>
      </c>
      <c r="I11" s="104" t="s">
        <v>205</v>
      </c>
      <c r="J11" s="104"/>
    </row>
    <row r="12" spans="1:10" x14ac:dyDescent="0.35">
      <c r="A12" s="104" t="s">
        <v>155</v>
      </c>
      <c r="B12" s="104" t="s">
        <v>156</v>
      </c>
      <c r="C12" s="5">
        <v>11</v>
      </c>
      <c r="D12" s="16" t="s">
        <v>167</v>
      </c>
      <c r="E12" s="159">
        <v>6.26384185778011E-2</v>
      </c>
      <c r="F12" s="16" t="s">
        <v>198</v>
      </c>
      <c r="G12" s="105" t="s">
        <v>201</v>
      </c>
      <c r="H12" s="5">
        <v>2020</v>
      </c>
      <c r="I12" s="104" t="s">
        <v>205</v>
      </c>
      <c r="J12" s="104"/>
    </row>
    <row r="13" spans="1:10" x14ac:dyDescent="0.35">
      <c r="A13" s="104" t="s">
        <v>155</v>
      </c>
      <c r="B13" s="104" t="s">
        <v>156</v>
      </c>
      <c r="C13" s="5">
        <v>12</v>
      </c>
      <c r="D13" s="16" t="s">
        <v>168</v>
      </c>
      <c r="E13" s="159">
        <v>9.671384220244968E-3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1077.2349228802298</v>
      </c>
      <c r="F15" s="104" t="s">
        <v>200</v>
      </c>
      <c r="G15" s="107" t="s">
        <v>5</v>
      </c>
      <c r="I15" s="104" t="s">
        <v>207</v>
      </c>
      <c r="J15" s="104"/>
    </row>
    <row r="16" spans="1:10" x14ac:dyDescent="0.35">
      <c r="A16" s="104" t="s">
        <v>155</v>
      </c>
      <c r="B16" s="104" t="s">
        <v>156</v>
      </c>
      <c r="C16" s="5">
        <v>15</v>
      </c>
      <c r="D16" s="16" t="s">
        <v>171</v>
      </c>
      <c r="E16" s="161">
        <v>149.62159729003906</v>
      </c>
      <c r="F16" s="104" t="s">
        <v>200</v>
      </c>
      <c r="G16" s="107" t="s">
        <v>5</v>
      </c>
      <c r="I16" s="104" t="s">
        <v>207</v>
      </c>
      <c r="J16" s="104"/>
    </row>
    <row r="17" spans="1:10" x14ac:dyDescent="0.35">
      <c r="A17" s="104" t="s">
        <v>155</v>
      </c>
      <c r="B17" s="104" t="s">
        <v>156</v>
      </c>
      <c r="C17" s="5">
        <v>16</v>
      </c>
      <c r="D17" s="16" t="s">
        <v>172</v>
      </c>
      <c r="E17" s="161">
        <v>82.83837890625</v>
      </c>
      <c r="F17" s="104" t="s">
        <v>200</v>
      </c>
      <c r="G17" s="107" t="s">
        <v>5</v>
      </c>
      <c r="I17" s="104" t="s">
        <v>207</v>
      </c>
      <c r="J17" s="104"/>
    </row>
    <row r="18" spans="1:10" x14ac:dyDescent="0.35">
      <c r="A18" s="104" t="s">
        <v>155</v>
      </c>
      <c r="B18" s="104" t="s">
        <v>156</v>
      </c>
      <c r="C18" s="5">
        <v>17</v>
      </c>
      <c r="D18" s="16" t="s">
        <v>173</v>
      </c>
      <c r="E18" s="161">
        <v>2.1987788677215576</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0.95599999999999996</v>
      </c>
      <c r="F20" s="16" t="s">
        <v>198</v>
      </c>
      <c r="G20" s="105" t="s">
        <v>203</v>
      </c>
      <c r="H20" s="5">
        <v>2017</v>
      </c>
      <c r="I20" s="104" t="s">
        <v>208</v>
      </c>
      <c r="J20" s="104"/>
    </row>
    <row r="21" spans="1:10" x14ac:dyDescent="0.35">
      <c r="A21" s="104" t="s">
        <v>155</v>
      </c>
      <c r="B21" s="104" t="s">
        <v>156</v>
      </c>
      <c r="C21" s="5">
        <v>20</v>
      </c>
      <c r="D21" s="16" t="s">
        <v>176</v>
      </c>
      <c r="E21" s="159">
        <v>0.85299999999999998</v>
      </c>
      <c r="F21" s="16" t="s">
        <v>198</v>
      </c>
      <c r="G21" s="106" t="s">
        <v>203</v>
      </c>
      <c r="H21" s="5">
        <v>2017</v>
      </c>
      <c r="I21" s="104" t="s">
        <v>209</v>
      </c>
      <c r="J21" s="104"/>
    </row>
    <row r="22" spans="1:10" x14ac:dyDescent="0.35">
      <c r="A22" s="104" t="s">
        <v>155</v>
      </c>
      <c r="B22" s="104" t="s">
        <v>156</v>
      </c>
      <c r="C22" s="5">
        <v>21</v>
      </c>
      <c r="D22" s="16" t="s">
        <v>177</v>
      </c>
      <c r="E22" s="5" t="s">
        <v>212</v>
      </c>
      <c r="F22" s="104" t="s">
        <v>16</v>
      </c>
      <c r="G22" s="106" t="s">
        <v>203</v>
      </c>
      <c r="H22" s="5">
        <v>2017</v>
      </c>
      <c r="I22" s="104" t="s">
        <v>209</v>
      </c>
      <c r="J22" s="104"/>
    </row>
    <row r="23" spans="1:10" x14ac:dyDescent="0.35">
      <c r="A23" s="104" t="s">
        <v>155</v>
      </c>
      <c r="B23" s="104" t="s">
        <v>156</v>
      </c>
      <c r="C23" s="5">
        <v>22</v>
      </c>
      <c r="D23" s="16" t="s">
        <v>178</v>
      </c>
      <c r="E23" s="159">
        <v>0.95599999999999996</v>
      </c>
      <c r="F23" s="16" t="s">
        <v>198</v>
      </c>
      <c r="G23" s="105" t="s">
        <v>203</v>
      </c>
      <c r="H23" s="5">
        <v>2015</v>
      </c>
      <c r="I23" s="104" t="s">
        <v>210</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0.85300003051757811</v>
      </c>
      <c r="F29" s="16" t="s">
        <v>198</v>
      </c>
      <c r="G29" s="105" t="s">
        <v>202</v>
      </c>
      <c r="I29" s="104" t="s">
        <v>211</v>
      </c>
      <c r="J29" s="104"/>
    </row>
    <row r="30" spans="1:10" x14ac:dyDescent="0.35">
      <c r="A30" s="104" t="s">
        <v>155</v>
      </c>
      <c r="B30" s="104" t="s">
        <v>156</v>
      </c>
      <c r="C30" s="5">
        <v>29</v>
      </c>
      <c r="D30" s="16" t="s">
        <v>185</v>
      </c>
      <c r="E30" s="161">
        <v>1029.8365478515625</v>
      </c>
      <c r="F30" s="104" t="s">
        <v>200</v>
      </c>
      <c r="G30" s="107" t="s">
        <v>5</v>
      </c>
      <c r="I30" s="104" t="s">
        <v>207</v>
      </c>
      <c r="J30" s="104"/>
    </row>
    <row r="31" spans="1:10" x14ac:dyDescent="0.35">
      <c r="A31" s="104" t="s">
        <v>155</v>
      </c>
      <c r="B31" s="104" t="s">
        <v>156</v>
      </c>
      <c r="C31" s="5">
        <v>30</v>
      </c>
      <c r="D31" s="16" t="s">
        <v>186</v>
      </c>
      <c r="E31" s="161">
        <v>71.519126892089844</v>
      </c>
      <c r="F31" s="104" t="s">
        <v>200</v>
      </c>
      <c r="G31" s="107" t="s">
        <v>5</v>
      </c>
      <c r="I31" s="104" t="s">
        <v>207</v>
      </c>
      <c r="J31" s="104"/>
    </row>
    <row r="32" spans="1:10" x14ac:dyDescent="0.35">
      <c r="A32" s="104" t="s">
        <v>155</v>
      </c>
      <c r="B32" s="104" t="s">
        <v>156</v>
      </c>
      <c r="C32" s="5">
        <v>31</v>
      </c>
      <c r="D32" s="16" t="s">
        <v>187</v>
      </c>
      <c r="E32" s="161">
        <v>71.519126892089844</v>
      </c>
      <c r="F32" s="104" t="s">
        <v>200</v>
      </c>
      <c r="G32" s="107" t="s">
        <v>5</v>
      </c>
      <c r="I32" s="104" t="s">
        <v>207</v>
      </c>
      <c r="J32" s="104"/>
    </row>
    <row r="33" spans="1:10" x14ac:dyDescent="0.35">
      <c r="A33" s="104" t="s">
        <v>155</v>
      </c>
      <c r="B33" s="104" t="s">
        <v>156</v>
      </c>
      <c r="C33" s="5">
        <v>32</v>
      </c>
      <c r="D33" s="16" t="s">
        <v>188</v>
      </c>
      <c r="E33" s="161">
        <v>1172.874755859375</v>
      </c>
      <c r="F33" s="104" t="s">
        <v>200</v>
      </c>
      <c r="G33" s="107" t="s">
        <v>5</v>
      </c>
      <c r="I33" s="104" t="s">
        <v>207</v>
      </c>
      <c r="J33" s="104"/>
    </row>
    <row r="34" spans="1:10" x14ac:dyDescent="0.35">
      <c r="A34" s="104" t="s">
        <v>155</v>
      </c>
      <c r="B34" s="104" t="s">
        <v>156</v>
      </c>
      <c r="C34" s="5">
        <v>33</v>
      </c>
      <c r="D34" s="16" t="s">
        <v>189</v>
      </c>
      <c r="E34" s="161">
        <v>878.4505615234375</v>
      </c>
      <c r="F34" s="104" t="s">
        <v>200</v>
      </c>
      <c r="G34" s="107" t="s">
        <v>5</v>
      </c>
      <c r="I34" s="104" t="s">
        <v>207</v>
      </c>
      <c r="J34" s="104"/>
    </row>
    <row r="35" spans="1:10" x14ac:dyDescent="0.35">
      <c r="A35" s="104" t="s">
        <v>155</v>
      </c>
      <c r="B35" s="104" t="s">
        <v>156</v>
      </c>
      <c r="C35" s="5">
        <v>34</v>
      </c>
      <c r="D35" s="16" t="s">
        <v>190</v>
      </c>
      <c r="E35" s="161">
        <v>61.005817413330078</v>
      </c>
      <c r="F35" s="104" t="s">
        <v>200</v>
      </c>
      <c r="G35" s="107" t="s">
        <v>5</v>
      </c>
      <c r="I35" s="104" t="s">
        <v>207</v>
      </c>
      <c r="J35" s="104"/>
    </row>
    <row r="36" spans="1:10" x14ac:dyDescent="0.35">
      <c r="A36" s="104" t="s">
        <v>155</v>
      </c>
      <c r="B36" s="104" t="s">
        <v>156</v>
      </c>
      <c r="C36" s="5">
        <v>35</v>
      </c>
      <c r="D36" s="16" t="s">
        <v>191</v>
      </c>
      <c r="E36" s="161">
        <v>71.519126892089844</v>
      </c>
      <c r="F36" s="104" t="s">
        <v>200</v>
      </c>
      <c r="G36" s="107" t="s">
        <v>5</v>
      </c>
      <c r="I36" s="104" t="s">
        <v>207</v>
      </c>
      <c r="J36" s="104"/>
    </row>
    <row r="37" spans="1:10" x14ac:dyDescent="0.35">
      <c r="A37" s="104" t="s">
        <v>155</v>
      </c>
      <c r="B37" s="104" t="s">
        <v>156</v>
      </c>
      <c r="C37" s="5">
        <v>36</v>
      </c>
      <c r="D37" s="16" t="s">
        <v>192</v>
      </c>
      <c r="E37" s="161">
        <v>1010.9755249023438</v>
      </c>
      <c r="F37" s="104" t="s">
        <v>200</v>
      </c>
      <c r="G37" s="107" t="s">
        <v>5</v>
      </c>
      <c r="I37" s="104" t="s">
        <v>207</v>
      </c>
      <c r="J37" s="104"/>
    </row>
    <row r="38" spans="1:10" x14ac:dyDescent="0.35">
      <c r="A38" s="104" t="s">
        <v>155</v>
      </c>
      <c r="B38" s="104" t="s">
        <v>156</v>
      </c>
      <c r="C38" s="5">
        <v>37</v>
      </c>
      <c r="D38" s="16" t="s">
        <v>193</v>
      </c>
      <c r="E38" s="159">
        <v>0.6696050262451172</v>
      </c>
      <c r="F38" s="16" t="s">
        <v>198</v>
      </c>
      <c r="G38" s="107" t="s">
        <v>5</v>
      </c>
      <c r="I38" s="104" t="s">
        <v>207</v>
      </c>
      <c r="J38" s="104"/>
    </row>
    <row r="39" spans="1:10" x14ac:dyDescent="0.35">
      <c r="A39" s="104" t="s">
        <v>155</v>
      </c>
      <c r="B39" s="104" t="s">
        <v>156</v>
      </c>
      <c r="C39" s="5">
        <v>38</v>
      </c>
      <c r="D39" s="16" t="s">
        <v>194</v>
      </c>
      <c r="E39" s="159">
        <v>4.650210380554199E-2</v>
      </c>
      <c r="F39" s="16" t="s">
        <v>198</v>
      </c>
      <c r="G39" s="107" t="s">
        <v>5</v>
      </c>
      <c r="I39" s="104" t="s">
        <v>207</v>
      </c>
      <c r="J39" s="104"/>
    </row>
    <row r="40" spans="1:10" x14ac:dyDescent="0.35">
      <c r="A40" s="104" t="s">
        <v>155</v>
      </c>
      <c r="B40" s="104" t="s">
        <v>156</v>
      </c>
      <c r="C40" s="5">
        <v>39</v>
      </c>
      <c r="D40" s="16" t="s">
        <v>195</v>
      </c>
      <c r="E40" s="159">
        <v>5.451594829559326E-2</v>
      </c>
      <c r="F40" s="16" t="s">
        <v>198</v>
      </c>
      <c r="G40" s="107" t="s">
        <v>5</v>
      </c>
      <c r="I40" s="104" t="s">
        <v>207</v>
      </c>
      <c r="J40" s="104"/>
    </row>
    <row r="41" spans="1:10" x14ac:dyDescent="0.35">
      <c r="A41" s="104" t="s">
        <v>155</v>
      </c>
      <c r="B41" s="104" t="s">
        <v>156</v>
      </c>
      <c r="C41" s="5">
        <v>40</v>
      </c>
      <c r="D41" s="16" t="s">
        <v>196</v>
      </c>
      <c r="E41" s="159">
        <v>0.77062309265136719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231</v>
      </c>
      <c r="E2">
        <v>95.6</v>
      </c>
      <c r="F2" s="8" t="s">
        <v>235</v>
      </c>
      <c r="G2" s="44" t="s">
        <v>203</v>
      </c>
      <c r="H2" s="15">
        <v>2017</v>
      </c>
      <c r="I2" s="8" t="s">
        <v>208</v>
      </c>
      <c r="J2" s="8" t="s">
        <v>238</v>
      </c>
      <c r="K2" s="8"/>
      <c r="L2" s="8"/>
      <c r="M2" s="5"/>
    </row>
    <row r="3" spans="1:13" x14ac:dyDescent="0.35">
      <c r="A3" s="8" t="s">
        <v>155</v>
      </c>
      <c r="B3" s="8" t="s">
        <v>156</v>
      </c>
      <c r="C3" s="141" t="s">
        <v>214</v>
      </c>
      <c r="D3" s="8" t="s">
        <v>232</v>
      </c>
      <c r="E3">
        <v>85.3</v>
      </c>
      <c r="F3" s="8" t="s">
        <v>235</v>
      </c>
      <c r="G3" s="44" t="s">
        <v>203</v>
      </c>
      <c r="H3" s="15">
        <v>2017</v>
      </c>
      <c r="I3" s="8" t="s">
        <v>209</v>
      </c>
      <c r="J3" s="8" t="s">
        <v>239</v>
      </c>
      <c r="K3" s="8"/>
      <c r="L3" s="8"/>
      <c r="M3" s="5"/>
    </row>
    <row r="4" spans="1:13" x14ac:dyDescent="0.35">
      <c r="A4" s="8" t="s">
        <v>155</v>
      </c>
      <c r="B4" s="8" t="s">
        <v>156</v>
      </c>
      <c r="C4" s="141" t="s">
        <v>215</v>
      </c>
      <c r="D4" s="8" t="s">
        <v>233</v>
      </c>
      <c r="E4">
        <v>95.6</v>
      </c>
      <c r="F4" s="8" t="s">
        <v>235</v>
      </c>
      <c r="G4" s="44" t="s">
        <v>203</v>
      </c>
      <c r="H4" s="15">
        <v>2015</v>
      </c>
      <c r="I4" s="8" t="s">
        <v>210</v>
      </c>
      <c r="J4" s="8" t="s">
        <v>207</v>
      </c>
      <c r="K4" s="8"/>
      <c r="L4" s="8"/>
      <c r="M4" s="5"/>
    </row>
    <row r="5" spans="1:13" x14ac:dyDescent="0.35">
      <c r="A5" s="8" t="s">
        <v>155</v>
      </c>
      <c r="B5" s="8" t="s">
        <v>156</v>
      </c>
      <c r="C5" s="141" t="s">
        <v>216</v>
      </c>
      <c r="D5" s="8" t="s">
        <v>234</v>
      </c>
      <c r="E5">
        <v>86</v>
      </c>
      <c r="F5" s="8" t="s">
        <v>235</v>
      </c>
      <c r="G5" s="44" t="s">
        <v>207</v>
      </c>
      <c r="H5" s="15">
        <v>2017</v>
      </c>
      <c r="I5" s="8" t="s">
        <v>237</v>
      </c>
      <c r="J5" s="8" t="s">
        <v>207</v>
      </c>
      <c r="K5" s="8"/>
      <c r="L5" s="8"/>
      <c r="M5" s="5"/>
    </row>
    <row r="6" spans="1:13" x14ac:dyDescent="0.35">
      <c r="A6" s="8" t="s">
        <v>155</v>
      </c>
      <c r="B6" s="8" t="s">
        <v>156</v>
      </c>
      <c r="C6" s="141" t="s">
        <v>217</v>
      </c>
      <c r="D6" s="8" t="s">
        <v>234</v>
      </c>
      <c r="E6">
        <v>14</v>
      </c>
      <c r="F6" s="8" t="s">
        <v>235</v>
      </c>
      <c r="G6" s="44" t="s">
        <v>207</v>
      </c>
      <c r="H6" s="15">
        <v>2017</v>
      </c>
      <c r="I6" s="8" t="s">
        <v>237</v>
      </c>
      <c r="J6" s="8" t="s">
        <v>207</v>
      </c>
      <c r="K6" s="8"/>
      <c r="L6" s="8"/>
      <c r="M6" s="5"/>
    </row>
    <row r="7" spans="1:13" x14ac:dyDescent="0.35">
      <c r="A7" s="8" t="s">
        <v>155</v>
      </c>
      <c r="B7" s="8" t="s">
        <v>156</v>
      </c>
      <c r="C7" s="141" t="s">
        <v>213</v>
      </c>
      <c r="D7" s="8" t="s">
        <v>234</v>
      </c>
      <c r="E7">
        <v>97.7</v>
      </c>
      <c r="F7" s="8" t="s">
        <v>235</v>
      </c>
      <c r="G7" s="44" t="s">
        <v>207</v>
      </c>
      <c r="H7" s="15">
        <v>2017</v>
      </c>
      <c r="I7" s="8" t="s">
        <v>237</v>
      </c>
      <c r="J7" s="8" t="s">
        <v>240</v>
      </c>
      <c r="K7" s="8"/>
      <c r="L7" s="8"/>
      <c r="M7" s="5"/>
    </row>
    <row r="8" spans="1:13" x14ac:dyDescent="0.35">
      <c r="A8" s="8" t="s">
        <v>155</v>
      </c>
      <c r="B8" s="8" t="s">
        <v>156</v>
      </c>
      <c r="C8" s="141" t="s">
        <v>218</v>
      </c>
      <c r="D8" s="8" t="s">
        <v>234</v>
      </c>
      <c r="E8">
        <v>5804000000</v>
      </c>
      <c r="F8" s="8" t="s">
        <v>236</v>
      </c>
      <c r="G8" s="44" t="s">
        <v>207</v>
      </c>
      <c r="H8" s="15">
        <v>2017</v>
      </c>
      <c r="I8" s="8" t="s">
        <v>208</v>
      </c>
      <c r="J8" s="8" t="s">
        <v>241</v>
      </c>
      <c r="K8" s="8"/>
      <c r="L8" s="8"/>
      <c r="M8" s="5"/>
    </row>
    <row r="9" spans="1:13" x14ac:dyDescent="0.35">
      <c r="A9" s="8" t="s">
        <v>155</v>
      </c>
      <c r="B9" s="8" t="s">
        <v>156</v>
      </c>
      <c r="C9" s="141" t="s">
        <v>219</v>
      </c>
      <c r="D9" s="8" t="s">
        <v>234</v>
      </c>
      <c r="E9">
        <v>84</v>
      </c>
      <c r="F9" s="8" t="s">
        <v>235</v>
      </c>
      <c r="G9" s="44" t="s">
        <v>207</v>
      </c>
      <c r="H9" s="15">
        <v>2017</v>
      </c>
      <c r="I9" s="8" t="s">
        <v>237</v>
      </c>
      <c r="J9" s="8" t="s">
        <v>207</v>
      </c>
      <c r="K9" s="8"/>
      <c r="L9" s="8"/>
      <c r="M9" s="5"/>
    </row>
    <row r="10" spans="1:13" x14ac:dyDescent="0.35">
      <c r="A10" s="8" t="s">
        <v>155</v>
      </c>
      <c r="B10" s="8" t="s">
        <v>156</v>
      </c>
      <c r="C10" s="141" t="s">
        <v>220</v>
      </c>
      <c r="D10" s="8" t="s">
        <v>234</v>
      </c>
      <c r="E10">
        <v>1535000000</v>
      </c>
      <c r="F10" s="8" t="s">
        <v>236</v>
      </c>
      <c r="G10" s="44" t="s">
        <v>207</v>
      </c>
      <c r="H10" s="15">
        <v>2017</v>
      </c>
      <c r="I10" s="8" t="s">
        <v>208</v>
      </c>
      <c r="J10" s="8" t="s">
        <v>207</v>
      </c>
      <c r="K10" s="8"/>
      <c r="L10" s="8"/>
      <c r="M10" s="5"/>
    </row>
    <row r="11" spans="1:13" x14ac:dyDescent="0.35">
      <c r="A11" s="8" t="s">
        <v>155</v>
      </c>
      <c r="B11" s="8" t="s">
        <v>156</v>
      </c>
      <c r="C11" s="141" t="s">
        <v>221</v>
      </c>
      <c r="D11" s="8" t="s">
        <v>234</v>
      </c>
      <c r="E11">
        <v>16.5</v>
      </c>
      <c r="F11" s="8" t="s">
        <v>235</v>
      </c>
      <c r="G11" s="44" t="s">
        <v>207</v>
      </c>
      <c r="H11" s="15">
        <v>2017</v>
      </c>
      <c r="I11" s="8" t="s">
        <v>209</v>
      </c>
      <c r="J11" s="8" t="s">
        <v>239</v>
      </c>
      <c r="K11" s="8"/>
      <c r="L11" s="8"/>
      <c r="M11" s="5"/>
    </row>
    <row r="12" spans="1:13" x14ac:dyDescent="0.35">
      <c r="A12" s="8" t="s">
        <v>155</v>
      </c>
      <c r="B12" s="8" t="s">
        <v>156</v>
      </c>
      <c r="C12" s="141" t="s">
        <v>222</v>
      </c>
      <c r="D12" s="8" t="s">
        <v>234</v>
      </c>
      <c r="E12">
        <v>14</v>
      </c>
      <c r="F12" s="8" t="s">
        <v>235</v>
      </c>
      <c r="G12" s="44" t="s">
        <v>207</v>
      </c>
      <c r="H12" s="15">
        <v>2017</v>
      </c>
      <c r="I12" s="8" t="s">
        <v>237</v>
      </c>
      <c r="J12" s="8" t="s">
        <v>207</v>
      </c>
      <c r="K12" s="8"/>
      <c r="L12" s="8"/>
      <c r="M12" s="5"/>
    </row>
    <row r="13" spans="1:13" x14ac:dyDescent="0.35">
      <c r="A13" s="8" t="s">
        <v>155</v>
      </c>
      <c r="B13" s="8" t="s">
        <v>156</v>
      </c>
      <c r="C13" s="141" t="s">
        <v>223</v>
      </c>
      <c r="D13" s="8" t="s">
        <v>234</v>
      </c>
      <c r="E13">
        <v>2827000000</v>
      </c>
      <c r="F13" s="8" t="s">
        <v>236</v>
      </c>
      <c r="G13" s="44" t="s">
        <v>207</v>
      </c>
      <c r="H13" s="15">
        <v>2017</v>
      </c>
      <c r="I13" s="8" t="s">
        <v>208</v>
      </c>
      <c r="J13" s="8" t="s">
        <v>207</v>
      </c>
      <c r="K13" s="8"/>
      <c r="L13" s="8"/>
      <c r="M13" s="5"/>
    </row>
    <row r="14" spans="1:13" x14ac:dyDescent="0.35">
      <c r="A14" s="8" t="s">
        <v>155</v>
      </c>
      <c r="B14" s="8" t="s">
        <v>156</v>
      </c>
      <c r="C14" s="141" t="s">
        <v>224</v>
      </c>
      <c r="D14" s="8" t="s">
        <v>234</v>
      </c>
      <c r="E14">
        <v>51.6</v>
      </c>
      <c r="F14" s="8" t="s">
        <v>235</v>
      </c>
      <c r="G14" s="44" t="s">
        <v>207</v>
      </c>
      <c r="H14" s="15">
        <v>2017</v>
      </c>
      <c r="I14" s="8" t="s">
        <v>209</v>
      </c>
      <c r="J14" s="8" t="s">
        <v>239</v>
      </c>
      <c r="K14" s="8"/>
      <c r="L14" s="8"/>
      <c r="M14" s="5"/>
    </row>
    <row r="15" spans="1:13" x14ac:dyDescent="0.35">
      <c r="A15" s="8" t="s">
        <v>155</v>
      </c>
      <c r="B15" s="8" t="s">
        <v>156</v>
      </c>
      <c r="C15" s="141" t="s">
        <v>225</v>
      </c>
      <c r="D15" s="8" t="s">
        <v>234</v>
      </c>
      <c r="E15">
        <v>43</v>
      </c>
      <c r="F15" s="8" t="s">
        <v>235</v>
      </c>
      <c r="G15" s="44" t="s">
        <v>207</v>
      </c>
      <c r="H15" s="15">
        <v>2017</v>
      </c>
      <c r="I15" s="8" t="s">
        <v>237</v>
      </c>
      <c r="J15" s="8" t="s">
        <v>207</v>
      </c>
      <c r="K15" s="8"/>
      <c r="L15" s="8"/>
      <c r="M15" s="5"/>
    </row>
    <row r="16" spans="1:13" x14ac:dyDescent="0.35">
      <c r="A16" s="8" t="s">
        <v>155</v>
      </c>
      <c r="B16" s="8" t="s">
        <v>156</v>
      </c>
      <c r="C16" s="141" t="s">
        <v>226</v>
      </c>
      <c r="D16" s="8" t="s">
        <v>234</v>
      </c>
      <c r="E16">
        <v>4269000000</v>
      </c>
      <c r="F16" s="8" t="s">
        <v>236</v>
      </c>
      <c r="G16" s="44" t="s">
        <v>207</v>
      </c>
      <c r="H16" s="15">
        <v>2017</v>
      </c>
      <c r="I16" s="8" t="s">
        <v>208</v>
      </c>
      <c r="J16" s="8" t="s">
        <v>242</v>
      </c>
      <c r="K16" s="8"/>
      <c r="L16" s="8"/>
      <c r="M16" s="5"/>
    </row>
    <row r="17" spans="1:13" x14ac:dyDescent="0.35">
      <c r="A17" s="8" t="s">
        <v>155</v>
      </c>
      <c r="B17" s="8" t="s">
        <v>156</v>
      </c>
      <c r="C17" s="141" t="s">
        <v>227</v>
      </c>
      <c r="D17" s="8" t="s">
        <v>234</v>
      </c>
      <c r="E17">
        <v>71</v>
      </c>
      <c r="F17" s="8" t="s">
        <v>235</v>
      </c>
      <c r="G17" s="44" t="s">
        <v>207</v>
      </c>
      <c r="H17" s="15">
        <v>2017</v>
      </c>
      <c r="I17" s="8" t="s">
        <v>237</v>
      </c>
      <c r="J17" s="8" t="s">
        <v>207</v>
      </c>
      <c r="K17" s="8"/>
      <c r="L17" s="8"/>
      <c r="M17" s="5"/>
    </row>
    <row r="18" spans="1:13" x14ac:dyDescent="0.35">
      <c r="A18" s="8" t="s">
        <v>155</v>
      </c>
      <c r="B18" s="8" t="s">
        <v>156</v>
      </c>
      <c r="C18" s="141" t="s">
        <v>228</v>
      </c>
      <c r="D18" s="8" t="s">
        <v>234</v>
      </c>
      <c r="E18">
        <v>1442000000</v>
      </c>
      <c r="F18" s="8" t="s">
        <v>236</v>
      </c>
      <c r="G18" s="44" t="s">
        <v>207</v>
      </c>
      <c r="H18" s="15">
        <v>2017</v>
      </c>
      <c r="I18" s="8" t="s">
        <v>208</v>
      </c>
      <c r="J18" s="8" t="s">
        <v>207</v>
      </c>
      <c r="K18" s="8"/>
      <c r="L18" s="8"/>
      <c r="M18" s="5"/>
    </row>
    <row r="19" spans="1:13" x14ac:dyDescent="0.35">
      <c r="A19" s="8" t="s">
        <v>155</v>
      </c>
      <c r="B19" s="8" t="s">
        <v>156</v>
      </c>
      <c r="C19" s="141" t="s">
        <v>229</v>
      </c>
      <c r="D19" s="8" t="s">
        <v>234</v>
      </c>
      <c r="E19">
        <v>33.700000000000003</v>
      </c>
      <c r="F19" s="8" t="s">
        <v>235</v>
      </c>
      <c r="G19" s="44" t="s">
        <v>207</v>
      </c>
      <c r="H19" s="15">
        <v>2017</v>
      </c>
      <c r="I19" s="8" t="s">
        <v>209</v>
      </c>
      <c r="J19" s="8" t="s">
        <v>239</v>
      </c>
      <c r="K19" s="8"/>
      <c r="L19" s="8"/>
      <c r="M19" s="5"/>
    </row>
    <row r="20" spans="1:13" x14ac:dyDescent="0.35">
      <c r="A20" s="8" t="s">
        <v>155</v>
      </c>
      <c r="B20" s="8" t="s">
        <v>156</v>
      </c>
      <c r="C20" s="141" t="s">
        <v>230</v>
      </c>
      <c r="D20" s="8" t="s">
        <v>234</v>
      </c>
      <c r="E20">
        <v>28</v>
      </c>
      <c r="F20" s="8" t="s">
        <v>235</v>
      </c>
      <c r="G20" s="44" t="s">
        <v>207</v>
      </c>
      <c r="H20" s="15">
        <v>2017</v>
      </c>
      <c r="I20" s="8" t="s">
        <v>237</v>
      </c>
      <c r="J20" s="8" t="s">
        <v>207</v>
      </c>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2021-08-06T08:40:14Z</dcterms:modified>
</cp:coreProperties>
</file>