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boissons\Dropbox\WHO 2020 Burden of Disease update\Country support\Country tool\Final versions\"/>
    </mc:Choice>
  </mc:AlternateContent>
  <xr:revisionPtr revIDLastSave="0" documentId="13_ncr:1_{A88C00AC-03A7-4536-AC74-09A09A346236}" xr6:coauthVersionLast="47" xr6:coauthVersionMax="47" xr10:uidLastSave="{00000000-0000-0000-0000-000000000000}"/>
  <bookViews>
    <workbookView xWindow="-120" yWindow="-120" windowWidth="29040" windowHeight="15840" activeTab="3" xr2:uid="{D02D47CD-CB35-40E4-A9D4-CF1ACAE23135}"/>
  </bookViews>
  <sheets>
    <sheet name="Cover note" sheetId="6" r:id="rId1"/>
    <sheet name="Scenario SDG" sheetId="3" r:id="rId2"/>
    <sheet name="Scenario ALT" sheetId="12" r:id="rId3"/>
    <sheet name="Difference" sheetId="14" r:id="rId4"/>
    <sheet name="Exposures" sheetId="11" state="hidden" r:id="rId5"/>
    <sheet name="Population and GHE" sheetId="7" state="hidden" r:id="rId6"/>
    <sheet name="Nutrition PAF" sheetId="15" state="hidden" r:id="rId7"/>
  </sheets>
  <definedNames>
    <definedName name="_xlnm._FilterDatabase" localSheetId="4" hidden="1">Exposures!$A$1:$AR$133</definedName>
    <definedName name="_xlnm._FilterDatabase" localSheetId="5" hidden="1">'Population and GHE'!$A$1:$AH$1</definedName>
    <definedName name="Afghanistan">'Nutrition PAF'!$B$2:$F$2</definedName>
    <definedName name="Albania">'Nutrition PAF'!$B$4:$F$4</definedName>
    <definedName name="Algeria">'Nutrition PAF'!$B$34:$F$34</definedName>
    <definedName name="Angola">'Nutrition PAF'!$B$3:$F$3</definedName>
    <definedName name="Argentina">'Nutrition PAF'!$B$5:$F$5</definedName>
    <definedName name="Armenia">'Nutrition PAF'!$B$6:$F$6</definedName>
    <definedName name="Azerbaijan">'Nutrition PAF'!$B$7:$F$7</definedName>
    <definedName name="Bangladesh">'Nutrition PAF'!$B$11:$F$11</definedName>
    <definedName name="Belarus">'Nutrition PAF'!$B$14:$F$14</definedName>
    <definedName name="Belize">'Nutrition PAF'!$B$15:$F$15</definedName>
    <definedName name="Benin">'Nutrition PAF'!$B$9:$F$9</definedName>
    <definedName name="Bhutan">'Nutrition PAF'!$B$18:$F$18</definedName>
    <definedName name="Bolivia__Plurinational_States_of">'Nutrition PAF'!$B$16:$F$16</definedName>
    <definedName name="Bosnia_and_Herzegovina">'Nutrition PAF'!$B$13:$F$13</definedName>
    <definedName name="Botswana">'Nutrition PAF'!$B$19:$F$19</definedName>
    <definedName name="Brazil">'Nutrition PAF'!$B$17:$F$17</definedName>
    <definedName name="Bulgaria">'Nutrition PAF'!$B$12:$F$12</definedName>
    <definedName name="Burkina_Faso">'Nutrition PAF'!$B$10:$F$10</definedName>
    <definedName name="Burundi">'Nutrition PAF'!$B$8:$F$8</definedName>
    <definedName name="Cambodia">'Nutrition PAF'!$B$62:$F$62</definedName>
    <definedName name="Cameroon">'Nutrition PAF'!$B$23:$F$23</definedName>
    <definedName name="Cape_Verde">'Nutrition PAF'!$B$28:$F$28</definedName>
    <definedName name="Central_African_Republic">'Nutrition PAF'!$B$20:$F$20</definedName>
    <definedName name="Chad">'Nutrition PAF'!$B$115:$F$115</definedName>
    <definedName name="China">'Nutrition PAF'!$B$21:$F$21</definedName>
    <definedName name="Colombia">'Nutrition PAF'!$B$26:$F$26</definedName>
    <definedName name="combined_nut_PAF">'Nutrition PAF'!$F$2:$F$136</definedName>
    <definedName name="Comoros">'Nutrition PAF'!$B$27:$F$27</definedName>
    <definedName name="Congo">'Nutrition PAF'!$B$25:$F$25</definedName>
    <definedName name="Costa_Rica">'Nutrition PAF'!$B$29:$F$29</definedName>
    <definedName name="Cote_d_Ivoire">'Nutrition PAF'!$B$22:$F$22</definedName>
    <definedName name="country">'Nutrition PAF'!$B$2:$F$136</definedName>
    <definedName name="Cuba">'Nutrition PAF'!$B$30:$F$30</definedName>
    <definedName name="Democratic_People_s_Republic_of_Korea">'Nutrition PAF'!$B$97:$F$97</definedName>
    <definedName name="Democratic_Republic_of_the_Congo">'Nutrition PAF'!$B$24:$F$24</definedName>
    <definedName name="Djibouti">'Nutrition PAF'!$B$31:$F$31</definedName>
    <definedName name="Dominica">'Nutrition PAF'!$B$32:$F$32</definedName>
    <definedName name="Dominican_Republic">'Nutrition PAF'!$B$33:$F$33</definedName>
    <definedName name="Ecuador">'Nutrition PAF'!$B$35:$F$35</definedName>
    <definedName name="Egypt">'Nutrition PAF'!$B$36:$F$36</definedName>
    <definedName name="El_Salvador">'Nutrition PAF'!$B$107:$F$107</definedName>
    <definedName name="Equatorial_Guinea">'Nutrition PAF'!$B$47:$F$47</definedName>
    <definedName name="Eritrea">'Nutrition PAF'!$B$37:$F$37</definedName>
    <definedName name="Eswatini">'Nutrition PAF'!$B$113:$F$113</definedName>
    <definedName name="Ethiopia">'Nutrition PAF'!$B$38:$F$38</definedName>
    <definedName name="Exposures">Exposures!$A$1:$AR$133</definedName>
    <definedName name="Fiji">'Nutrition PAF'!$B$39:$F$39</definedName>
    <definedName name="Gabon">'Nutrition PAF'!$B$41:$F$41</definedName>
    <definedName name="Gambia">'Nutrition PAF'!$B$45:$F$45</definedName>
    <definedName name="Georgia">'Nutrition PAF'!$B$42:$F$42</definedName>
    <definedName name="Ghana">'Nutrition PAF'!$B$43:$F$43</definedName>
    <definedName name="GHE">'Population and GHE'!$A$1:$AH$133</definedName>
    <definedName name="Grenada">'Nutrition PAF'!$B$48:$F$48</definedName>
    <definedName name="Guatemala">'Nutrition PAF'!$B$49:$F$49</definedName>
    <definedName name="Guinea">'Nutrition PAF'!$B$44:$F$44</definedName>
    <definedName name="Guinea_Bissau">'Nutrition PAF'!$B$46:$F$46</definedName>
    <definedName name="Guyana">'Nutrition PAF'!$B$50:$F$50</definedName>
    <definedName name="Haiti">'Nutrition PAF'!$B$52:$F$52</definedName>
    <definedName name="Honduras">'Nutrition PAF'!$B$51:$F$51</definedName>
    <definedName name="India">'Nutrition PAF'!$B$54:$F$54</definedName>
    <definedName name="Indonesia">'Nutrition PAF'!$B$53:$F$53</definedName>
    <definedName name="Iran__Islamic_Republic_of">'Nutrition PAF'!$B$55:$F$55</definedName>
    <definedName name="Iraq">'Nutrition PAF'!$B$56:$F$56</definedName>
    <definedName name="iso3_">'Nutrition PAF'!$B$2:$B$136</definedName>
    <definedName name="Jamaica">'Nutrition PAF'!$B$57:$F$57</definedName>
    <definedName name="Jordan">'Nutrition PAF'!$B$58:$F$58</definedName>
    <definedName name="Kazakhstan">'Nutrition PAF'!$B$59:$F$59</definedName>
    <definedName name="Kenya">'Nutrition PAF'!$B$60:$F$60</definedName>
    <definedName name="Kiribati">'Nutrition PAF'!$B$63:$F$63</definedName>
    <definedName name="Kyrgyzstan">'Nutrition PAF'!$B$61:$F$61</definedName>
    <definedName name="Lao_People_s_Democratic_Republic">'Nutrition PAF'!$B$64:$F$64</definedName>
    <definedName name="Lebanon">'Nutrition PAF'!$B$65:$F$65</definedName>
    <definedName name="Lesotho">'Nutrition PAF'!$B$70:$F$70</definedName>
    <definedName name="Liberia">'Nutrition PAF'!$B$66:$F$66</definedName>
    <definedName name="Libyan_Arab_Jamahiriya">'Nutrition PAF'!$B$67:$F$67</definedName>
    <definedName name="Madagascar">'Nutrition PAF'!$B$73:$F$73</definedName>
    <definedName name="Malawi">'Nutrition PAF'!$B$85:$F$85</definedName>
    <definedName name="Malaysia">'Nutrition PAF'!$B$86:$F$86</definedName>
    <definedName name="Maldives">'Nutrition PAF'!$B$74:$F$74</definedName>
    <definedName name="Mali">'Nutrition PAF'!$B$78:$F$78</definedName>
    <definedName name="Marshall_Islands">'Nutrition PAF'!$B$76:$F$76</definedName>
    <definedName name="Mauritania">'Nutrition PAF'!$B$83:$F$83</definedName>
    <definedName name="Mauritius">'Nutrition PAF'!$B$84:$F$84</definedName>
    <definedName name="Mexico">'Nutrition PAF'!$B$75:$F$75</definedName>
    <definedName name="Micronesia__Federated_States_of">'Nutrition PAF'!$B$40:$F$40</definedName>
    <definedName name="Mongolia">'Nutrition PAF'!$B$81:$F$81</definedName>
    <definedName name="Montenegro">'Nutrition PAF'!$B$80:$F$80</definedName>
    <definedName name="Morocco">'Nutrition PAF'!$B$71:$F$71</definedName>
    <definedName name="Mozambique">'Nutrition PAF'!$B$82:$F$82</definedName>
    <definedName name="Myanmar">'Nutrition PAF'!$B$79:$F$79</definedName>
    <definedName name="Namibia">'Nutrition PAF'!$B$87:$F$87</definedName>
    <definedName name="Nepal">'Nutrition PAF'!$B$91:$F$91</definedName>
    <definedName name="Nicaragua">'Nutrition PAF'!$B$90:$F$90</definedName>
    <definedName name="Niger">'Nutrition PAF'!$B$88:$F$88</definedName>
    <definedName name="Nigeria">'Nutrition PAF'!$B$89:$F$89</definedName>
    <definedName name="PAF_Nutrition_from_diarrhoa">'Nutrition PAF'!$A$1:$F$136</definedName>
    <definedName name="PAF_nutrition_from_diarrhoea">'Nutrition PAF'!$A$1:$F$136</definedName>
    <definedName name="paf_waz_diar_mean">'Nutrition PAF'!$D$2:$D$136</definedName>
    <definedName name="paf_whz_diar_mean">'Nutrition PAF'!$E$2:$E$136</definedName>
    <definedName name="Pakistan">'Nutrition PAF'!$B$92:$F$92</definedName>
    <definedName name="Palestine">'Nutrition PAF'!$B$99:$F$99</definedName>
    <definedName name="Panama">'Nutrition PAF'!$B$93:$F$93</definedName>
    <definedName name="Papua_New_Guinea">'Nutrition PAF'!$B$96:$F$96</definedName>
    <definedName name="Paraguay">'Nutrition PAF'!$B$98:$F$98</definedName>
    <definedName name="Peru">'Nutrition PAF'!$B$94:$F$94</definedName>
    <definedName name="Philippines">'Nutrition PAF'!$B$95:$F$95</definedName>
    <definedName name="Republic_of_Moldova">'Nutrition PAF'!$B$72:$F$72</definedName>
    <definedName name="Romania">'Nutrition PAF'!$B$100:$F$100</definedName>
    <definedName name="Russian_Federation">'Nutrition PAF'!$B$101:$F$101</definedName>
    <definedName name="Rwanda">'Nutrition PAF'!$B$102:$F$102</definedName>
    <definedName name="Saint_Lucia">'Nutrition PAF'!$B$68:$F$68</definedName>
    <definedName name="Saint_Vincent_and_the_Grenadines">'Nutrition PAF'!$B$128:$F$128</definedName>
    <definedName name="Samoa">'Nutrition PAF'!$B$132:$F$132</definedName>
    <definedName name="Sao_Tome_and_Principe">'Nutrition PAF'!$B$111:$F$111</definedName>
    <definedName name="Senegal">'Nutrition PAF'!$B$104:$F$104</definedName>
    <definedName name="Serbia">'Nutrition PAF'!$B$109:$F$109</definedName>
    <definedName name="Sierra_Leone">'Nutrition PAF'!$B$106:$F$106</definedName>
    <definedName name="Solomon_Islands">'Nutrition PAF'!$B$105:$F$105</definedName>
    <definedName name="Somalia">'Nutrition PAF'!$B$108:$F$108</definedName>
    <definedName name="South_Africa">'Nutrition PAF'!$B$134:$F$134</definedName>
    <definedName name="South_Sudan">'Nutrition PAF'!$B$110:$F$110</definedName>
    <definedName name="Sri_Lanka">'Nutrition PAF'!$B$69:$F$69</definedName>
    <definedName name="Sudan">'Nutrition PAF'!$B$103:$F$103</definedName>
    <definedName name="Suriname">'Nutrition PAF'!$B$112:$F$112</definedName>
    <definedName name="Syrian_Arab_Republic">'Nutrition PAF'!$B$114:$F$114</definedName>
    <definedName name="Tajikistan">'Nutrition PAF'!$B$118:$F$118</definedName>
    <definedName name="Thailand">'Nutrition PAF'!$B$117:$F$117</definedName>
    <definedName name="The_former_Yugoslav_Republic_of_Macedonia">'Nutrition PAF'!$B$77:$F$77</definedName>
    <definedName name="Timor_Leste">'Nutrition PAF'!$B$120:$F$120</definedName>
    <definedName name="Togo">'Nutrition PAF'!$B$116:$F$116</definedName>
    <definedName name="Tonga">'Nutrition PAF'!$B$121:$F$121</definedName>
    <definedName name="Tunisia">'Nutrition PAF'!$B$122:$F$122</definedName>
    <definedName name="Türkiye">'Nutrition PAF'!$B$123:$F$123</definedName>
    <definedName name="Turkmenistan">'Nutrition PAF'!$B$119:$F$119</definedName>
    <definedName name="Uganda">'Nutrition PAF'!$B$125:$F$125</definedName>
    <definedName name="Ukraine">'Nutrition PAF'!$B$126:$F$126</definedName>
    <definedName name="United_Republic_of_Tanzania">'Nutrition PAF'!$B$124:$F$124</definedName>
    <definedName name="Uzbekistan">'Nutrition PAF'!$B$127:$F$127</definedName>
    <definedName name="Vanuatu">'Nutrition PAF'!$B$131:$F$131</definedName>
    <definedName name="Venezuela__Bolivarian_Republic_of">'Nutrition PAF'!$B$129:$F$129</definedName>
    <definedName name="Viet_Nam">'Nutrition PAF'!$B$130:$F$130</definedName>
    <definedName name="year">'Nutrition PAF'!$C$2:$C$136</definedName>
    <definedName name="Yemen">'Nutrition PAF'!$B$133:$F$133</definedName>
    <definedName name="Zambia">'Nutrition PAF'!$B$135:$F$135</definedName>
    <definedName name="Zimbabwe">'Nutrition PAF'!$B$136:$F$136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3" l="1"/>
  <c r="C86" i="12"/>
  <c r="C86" i="3"/>
  <c r="C33" i="12"/>
  <c r="C32" i="12"/>
  <c r="C31" i="12"/>
  <c r="C34" i="12" s="1"/>
  <c r="C75" i="3"/>
  <c r="C70" i="3"/>
  <c r="C82" i="12"/>
  <c r="C79" i="12"/>
  <c r="C78" i="12"/>
  <c r="C75" i="12"/>
  <c r="C74" i="12"/>
  <c r="C73" i="12"/>
  <c r="C72" i="12"/>
  <c r="C71" i="12"/>
  <c r="C70" i="12"/>
  <c r="C69" i="12"/>
  <c r="C68" i="12"/>
  <c r="C74" i="3"/>
  <c r="C73" i="3"/>
  <c r="C72" i="3"/>
  <c r="C71" i="3"/>
  <c r="C69" i="3"/>
  <c r="C82" i="3"/>
  <c r="C79" i="3"/>
  <c r="C78" i="3"/>
  <c r="C68" i="3"/>
  <c r="C35" i="12" l="1"/>
  <c r="C36" i="12"/>
  <c r="C59" i="12"/>
  <c r="C60" i="12" s="1"/>
  <c r="E98" i="12" s="1"/>
  <c r="C58" i="12"/>
  <c r="C53" i="12"/>
  <c r="C52" i="12"/>
  <c r="C32" i="3"/>
  <c r="C49" i="12"/>
  <c r="C48" i="12"/>
  <c r="C47" i="12"/>
  <c r="C43" i="12"/>
  <c r="C42" i="12"/>
  <c r="C41" i="12"/>
  <c r="C59" i="3"/>
  <c r="C60" i="3" s="1"/>
  <c r="C58" i="3"/>
  <c r="C53" i="3"/>
  <c r="C52" i="3"/>
  <c r="C54" i="3" s="1"/>
  <c r="C49" i="3"/>
  <c r="C48" i="3"/>
  <c r="C47" i="3"/>
  <c r="C43" i="3"/>
  <c r="C42" i="3"/>
  <c r="C41" i="3"/>
  <c r="C33" i="3"/>
  <c r="C34" i="3"/>
  <c r="E99" i="14"/>
  <c r="C86" i="14"/>
  <c r="C82" i="14"/>
  <c r="C79" i="14"/>
  <c r="C78" i="14"/>
  <c r="C69" i="14"/>
  <c r="C70" i="14"/>
  <c r="C71" i="14"/>
  <c r="C72" i="14"/>
  <c r="C73" i="14"/>
  <c r="C74" i="14"/>
  <c r="C75" i="14"/>
  <c r="C68" i="14"/>
  <c r="C24" i="12"/>
  <c r="F23" i="12"/>
  <c r="H123" i="12" s="1"/>
  <c r="E23" i="12"/>
  <c r="G123" i="12" s="1"/>
  <c r="D23" i="12"/>
  <c r="F123" i="12" s="1"/>
  <c r="C23" i="12"/>
  <c r="E123" i="12" s="1"/>
  <c r="F22" i="12"/>
  <c r="E22" i="12"/>
  <c r="D22" i="12"/>
  <c r="C22" i="12"/>
  <c r="F21" i="12"/>
  <c r="E21" i="12"/>
  <c r="D21" i="12"/>
  <c r="C21" i="12"/>
  <c r="C18" i="12"/>
  <c r="F17" i="12"/>
  <c r="H110" i="12" s="1"/>
  <c r="E17" i="12"/>
  <c r="G110" i="12" s="1"/>
  <c r="D17" i="12"/>
  <c r="F110" i="12" s="1"/>
  <c r="C17" i="12"/>
  <c r="E110" i="12" s="1"/>
  <c r="F16" i="12"/>
  <c r="E16" i="12"/>
  <c r="D16" i="12"/>
  <c r="C16" i="12"/>
  <c r="F15" i="12"/>
  <c r="E15" i="12"/>
  <c r="D15" i="12"/>
  <c r="C15" i="12"/>
  <c r="F10" i="12"/>
  <c r="E10" i="12"/>
  <c r="D10" i="12"/>
  <c r="C10" i="12"/>
  <c r="F3" i="15"/>
  <c r="F4" i="15"/>
  <c r="F5" i="15"/>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2" i="15"/>
  <c r="C4" i="14"/>
  <c r="C24" i="3"/>
  <c r="F23" i="3"/>
  <c r="H123" i="3" s="1"/>
  <c r="E23" i="3"/>
  <c r="G123" i="3" s="1"/>
  <c r="D23" i="3"/>
  <c r="F123" i="3" s="1"/>
  <c r="C23" i="3"/>
  <c r="E123" i="3" s="1"/>
  <c r="F22" i="3"/>
  <c r="E22" i="3"/>
  <c r="D22" i="3"/>
  <c r="C22" i="3"/>
  <c r="F21" i="3"/>
  <c r="E21" i="3"/>
  <c r="D21" i="3"/>
  <c r="C21" i="3"/>
  <c r="C18" i="3"/>
  <c r="F17" i="3"/>
  <c r="H110" i="3" s="1"/>
  <c r="E17" i="3"/>
  <c r="D17" i="3"/>
  <c r="F110" i="3" s="1"/>
  <c r="C17" i="3"/>
  <c r="E110" i="3" s="1"/>
  <c r="F16" i="3"/>
  <c r="E16" i="3"/>
  <c r="D16" i="3"/>
  <c r="C16" i="3"/>
  <c r="F15" i="3"/>
  <c r="E15" i="3"/>
  <c r="D15" i="3"/>
  <c r="C15" i="3"/>
  <c r="F10" i="3"/>
  <c r="E10" i="3"/>
  <c r="D10" i="3"/>
  <c r="C10" i="3"/>
  <c r="C55" i="12" l="1"/>
  <c r="C46" i="3"/>
  <c r="G110" i="3"/>
  <c r="G110" i="14" s="1"/>
  <c r="C40" i="3"/>
  <c r="F110" i="14"/>
  <c r="H110" i="14"/>
  <c r="C54" i="12"/>
  <c r="E96" i="12"/>
  <c r="E120" i="12" s="1"/>
  <c r="I110" i="12"/>
  <c r="E96" i="3"/>
  <c r="E98" i="3"/>
  <c r="I110" i="3"/>
  <c r="C40" i="12"/>
  <c r="C46" i="12"/>
  <c r="F109" i="12"/>
  <c r="C10" i="14"/>
  <c r="C43" i="14"/>
  <c r="E21" i="14"/>
  <c r="F16" i="14"/>
  <c r="F10" i="14"/>
  <c r="C32" i="14"/>
  <c r="C48" i="14"/>
  <c r="D15" i="14"/>
  <c r="F21" i="14"/>
  <c r="C42" i="14"/>
  <c r="D21" i="14"/>
  <c r="E16" i="14"/>
  <c r="E10" i="14"/>
  <c r="F15" i="14"/>
  <c r="D22" i="14"/>
  <c r="C22" i="14"/>
  <c r="C58" i="14"/>
  <c r="C41" i="14"/>
  <c r="C21" i="14"/>
  <c r="D16" i="14"/>
  <c r="D10" i="14"/>
  <c r="C53" i="14"/>
  <c r="F22" i="14"/>
  <c r="C18" i="14"/>
  <c r="C16" i="14"/>
  <c r="E22" i="14"/>
  <c r="C49" i="14"/>
  <c r="E15" i="14"/>
  <c r="C24" i="14"/>
  <c r="C47" i="14"/>
  <c r="C36" i="3"/>
  <c r="H123" i="14"/>
  <c r="G123" i="14"/>
  <c r="E123" i="14"/>
  <c r="E110" i="14"/>
  <c r="I110" i="14" l="1"/>
  <c r="E94" i="12"/>
  <c r="E94" i="3"/>
  <c r="E95" i="12"/>
  <c r="E96" i="14"/>
  <c r="H120" i="12"/>
  <c r="G107" i="12"/>
  <c r="F107" i="12"/>
  <c r="H109" i="12"/>
  <c r="I109" i="12" s="1"/>
  <c r="G109" i="12"/>
  <c r="G122" i="12"/>
  <c r="F122" i="12"/>
  <c r="E109" i="12"/>
  <c r="G120" i="12"/>
  <c r="E107" i="12"/>
  <c r="H107" i="12"/>
  <c r="I107" i="12" s="1"/>
  <c r="F120" i="12"/>
  <c r="E122" i="12"/>
  <c r="H122" i="12"/>
  <c r="C15" i="14"/>
  <c r="C31" i="14"/>
  <c r="C33" i="14"/>
  <c r="C17" i="14"/>
  <c r="C23" i="14"/>
  <c r="F17" i="14"/>
  <c r="D17" i="14"/>
  <c r="D23" i="14"/>
  <c r="E17" i="14"/>
  <c r="C52" i="14"/>
  <c r="C59" i="14"/>
  <c r="E23" i="14"/>
  <c r="F23" i="14"/>
  <c r="F123" i="14"/>
  <c r="E97" i="12" l="1"/>
  <c r="E100" i="12" s="1"/>
  <c r="E106" i="12"/>
  <c r="H119" i="12"/>
  <c r="F119" i="12"/>
  <c r="F106" i="12"/>
  <c r="G106" i="12"/>
  <c r="H106" i="12"/>
  <c r="I106" i="12" s="1"/>
  <c r="G119" i="12"/>
  <c r="E119" i="12"/>
  <c r="E105" i="12"/>
  <c r="H105" i="12"/>
  <c r="I105" i="12" s="1"/>
  <c r="G118" i="12"/>
  <c r="F118" i="12"/>
  <c r="G105" i="12"/>
  <c r="H118" i="12"/>
  <c r="F105" i="12"/>
  <c r="E118" i="12"/>
  <c r="C60" i="14"/>
  <c r="C36" i="14"/>
  <c r="C40" i="14"/>
  <c r="C35" i="3"/>
  <c r="C35" i="14" s="1"/>
  <c r="C55" i="3"/>
  <c r="E95" i="3" s="1"/>
  <c r="C54" i="14"/>
  <c r="C55" i="14" l="1"/>
  <c r="E95" i="14"/>
  <c r="F121" i="12"/>
  <c r="G121" i="12"/>
  <c r="E108" i="12"/>
  <c r="H108" i="12"/>
  <c r="I108" i="12" s="1"/>
  <c r="E121" i="12"/>
  <c r="G108" i="12"/>
  <c r="H121" i="12"/>
  <c r="F108" i="12"/>
  <c r="C46" i="14"/>
  <c r="C34" i="14"/>
  <c r="E98" i="14"/>
  <c r="E94" i="14" l="1"/>
  <c r="H125" i="12"/>
  <c r="F125" i="12"/>
  <c r="G112" i="12"/>
  <c r="G125" i="12"/>
  <c r="F112" i="12"/>
  <c r="H112" i="12"/>
  <c r="E111" i="12"/>
  <c r="E124" i="12"/>
  <c r="G109" i="3"/>
  <c r="G109" i="14" s="1"/>
  <c r="H122" i="3"/>
  <c r="H122" i="14" s="1"/>
  <c r="F122" i="3"/>
  <c r="F122" i="14" s="1"/>
  <c r="H109" i="3"/>
  <c r="G122" i="3"/>
  <c r="G122" i="14" s="1"/>
  <c r="E109" i="3"/>
  <c r="E109" i="14" s="1"/>
  <c r="F109" i="3"/>
  <c r="F109" i="14" s="1"/>
  <c r="E122" i="3"/>
  <c r="E122" i="14" s="1"/>
  <c r="G120" i="3"/>
  <c r="G120" i="14" s="1"/>
  <c r="E107" i="3"/>
  <c r="E107" i="14" s="1"/>
  <c r="F120" i="3"/>
  <c r="F120" i="14" s="1"/>
  <c r="F107" i="3"/>
  <c r="F107" i="14" s="1"/>
  <c r="H107" i="3"/>
  <c r="G107" i="3"/>
  <c r="G107" i="14" s="1"/>
  <c r="H120" i="3"/>
  <c r="H120" i="14" s="1"/>
  <c r="E120" i="3"/>
  <c r="E120" i="14" s="1"/>
  <c r="H106" i="3"/>
  <c r="E106" i="3"/>
  <c r="E106" i="14" s="1"/>
  <c r="G106" i="3"/>
  <c r="G106" i="14" s="1"/>
  <c r="F106" i="3"/>
  <c r="F106" i="14" s="1"/>
  <c r="H119" i="3"/>
  <c r="H119" i="14" s="1"/>
  <c r="E119" i="3"/>
  <c r="E119" i="14" s="1"/>
  <c r="F119" i="3"/>
  <c r="F119" i="14" s="1"/>
  <c r="G119" i="3"/>
  <c r="G119" i="14" s="1"/>
  <c r="H106" i="14" l="1"/>
  <c r="I106" i="3"/>
  <c r="I106" i="14" s="1"/>
  <c r="H107" i="14"/>
  <c r="I107" i="3"/>
  <c r="I107" i="14" s="1"/>
  <c r="I109" i="3"/>
  <c r="I109" i="14" s="1"/>
  <c r="H109" i="14"/>
  <c r="I112" i="12"/>
  <c r="I111" i="12"/>
  <c r="E125" i="12"/>
  <c r="E112" i="12"/>
  <c r="E105" i="3"/>
  <c r="E105" i="14" s="1"/>
  <c r="G105" i="3"/>
  <c r="G105" i="14" s="1"/>
  <c r="E97" i="3"/>
  <c r="E100" i="3" s="1"/>
  <c r="H118" i="3"/>
  <c r="H118" i="14" s="1"/>
  <c r="F105" i="3"/>
  <c r="F105" i="14" s="1"/>
  <c r="G118" i="3"/>
  <c r="G118" i="14" s="1"/>
  <c r="H105" i="3"/>
  <c r="E118" i="3"/>
  <c r="E118" i="14" s="1"/>
  <c r="F118" i="3"/>
  <c r="F118" i="14" s="1"/>
  <c r="H105" i="14" l="1"/>
  <c r="I105" i="3"/>
  <c r="I105" i="14" s="1"/>
  <c r="E97" i="14"/>
  <c r="E100" i="14"/>
  <c r="E108" i="3"/>
  <c r="E108" i="14" s="1"/>
  <c r="F108" i="3"/>
  <c r="H108" i="3"/>
  <c r="I108" i="3" s="1"/>
  <c r="F121" i="3"/>
  <c r="G121" i="3"/>
  <c r="E121" i="3"/>
  <c r="E121" i="14" s="1"/>
  <c r="G108" i="3"/>
  <c r="H121" i="3"/>
  <c r="G112" i="3" l="1"/>
  <c r="G112" i="14" s="1"/>
  <c r="G108" i="14"/>
  <c r="G125" i="3"/>
  <c r="G125" i="14" s="1"/>
  <c r="G121" i="14"/>
  <c r="H112" i="3"/>
  <c r="H112" i="14" s="1"/>
  <c r="H108" i="14"/>
  <c r="F112" i="3"/>
  <c r="F112" i="14" s="1"/>
  <c r="F108" i="14"/>
  <c r="H125" i="3"/>
  <c r="H125" i="14" s="1"/>
  <c r="H121" i="14"/>
  <c r="F125" i="3"/>
  <c r="F125" i="14" s="1"/>
  <c r="F121" i="14"/>
  <c r="E111" i="3"/>
  <c r="E124" i="3"/>
  <c r="I108" i="14"/>
  <c r="E125" i="3" l="1"/>
  <c r="E125" i="14" s="1"/>
  <c r="E124" i="14"/>
  <c r="I111" i="3"/>
  <c r="I111" i="14" s="1"/>
  <c r="E111" i="14"/>
  <c r="E112" i="3"/>
  <c r="E112" i="14" s="1"/>
  <c r="I112" i="3"/>
  <c r="I112" i="14" s="1"/>
</calcChain>
</file>

<file path=xl/sharedStrings.xml><?xml version="1.0" encoding="utf-8"?>
<sst xmlns="http://schemas.openxmlformats.org/spreadsheetml/2006/main" count="1374" uniqueCount="475">
  <si>
    <t xml:space="preserve">Sanitation </t>
  </si>
  <si>
    <t>Burden of disease attributable to water, sanitation and hygiene (WSH), for the year 2019</t>
  </si>
  <si>
    <t>Disease</t>
  </si>
  <si>
    <t>Diarrhoea</t>
  </si>
  <si>
    <t>Acute Respiratory Infections</t>
  </si>
  <si>
    <t>Intestinal nematode infections</t>
  </si>
  <si>
    <t>Protein-energy malnutrition (only U5)</t>
  </si>
  <si>
    <t>Risk factor</t>
  </si>
  <si>
    <t>Under 5 
deaths</t>
  </si>
  <si>
    <t>Male 
deaths</t>
  </si>
  <si>
    <t>Female 
deaths</t>
  </si>
  <si>
    <t>Mortality rate (deaths per 100,000)</t>
  </si>
  <si>
    <t>Water</t>
  </si>
  <si>
    <t>Sanitation</t>
  </si>
  <si>
    <t>Hygiene</t>
  </si>
  <si>
    <t>WSH Total</t>
  </si>
  <si>
    <t xml:space="preserve">Protein-energy malnutrition </t>
  </si>
  <si>
    <t>Male 
DALYs</t>
  </si>
  <si>
    <t>Female 
DALYs</t>
  </si>
  <si>
    <t>Under 5 
DALYs</t>
  </si>
  <si>
    <t xml:space="preserve">All DALYs </t>
  </si>
  <si>
    <t>All</t>
  </si>
  <si>
    <t xml:space="preserve">Female 
</t>
  </si>
  <si>
    <t xml:space="preserve">Male 
</t>
  </si>
  <si>
    <t xml:space="preserve">Under 5 
</t>
  </si>
  <si>
    <t>All deaths</t>
  </si>
  <si>
    <t>Unimproved, filter/boil vs counterfactual</t>
  </si>
  <si>
    <t>Unimproved, chlorine vs counterfactual</t>
  </si>
  <si>
    <t>Unimproved, solar vs counterfactual</t>
  </si>
  <si>
    <t>Unimproved, no POU vs counterfactual</t>
  </si>
  <si>
    <t xml:space="preserve">Hygiene </t>
  </si>
  <si>
    <t>DEATHS</t>
  </si>
  <si>
    <t>Disease envelopes</t>
  </si>
  <si>
    <t>Population using at least basic drinking-water services</t>
  </si>
  <si>
    <t>Population using safely managed services</t>
  </si>
  <si>
    <t>Percentage (%)</t>
  </si>
  <si>
    <t>Population using at least basic sanitation services</t>
  </si>
  <si>
    <t>Population with access to handwashing facilities with water and soap</t>
  </si>
  <si>
    <t>Population practicing handwashing with soap after potential faecal contact</t>
  </si>
  <si>
    <t>Improved, not safely managed, filter/boil vs counterfactual</t>
  </si>
  <si>
    <t>Improved, not safely managed, chlorine vs counterfactual</t>
  </si>
  <si>
    <t>Improved, not safely managed, solar vs counterfactual</t>
  </si>
  <si>
    <t>Improved, not safely managed, no POU vs counterfactual</t>
  </si>
  <si>
    <t>Relative risk</t>
  </si>
  <si>
    <t>Attributable deaths by risk factor</t>
  </si>
  <si>
    <t>Attributable DALYs by risk factor</t>
  </si>
  <si>
    <t>PAF</t>
  </si>
  <si>
    <t>Exposures / risk factors</t>
  </si>
  <si>
    <t>Population Attributable Fraction (PAF)</t>
  </si>
  <si>
    <t xml:space="preserve">Acute Respiratory Infections </t>
  </si>
  <si>
    <t>WHO-UNICEF Joint Monitoring Programme on Water Supply, Sanitation and Hygiene</t>
  </si>
  <si>
    <t>% people with access to basic drinking water services.</t>
  </si>
  <si>
    <t>% people with access to safely managed drinking water services.</t>
  </si>
  <si>
    <t>% people using household point of use treatment (filtering/boiling, chlorination or solar treatment) by type of water source.</t>
  </si>
  <si>
    <t>% people with access to basic sanitation services</t>
  </si>
  <si>
    <t>% people with access to basic sanitation services, connected to sewer.</t>
  </si>
  <si>
    <t>Journal article (Wolf et al. 2018)</t>
  </si>
  <si>
    <t>% people washing hands after toilet use (observed values).</t>
  </si>
  <si>
    <t>1. Exposures</t>
  </si>
  <si>
    <t>2. Disease burden</t>
  </si>
  <si>
    <t>4. Population estimates</t>
  </si>
  <si>
    <t>https://doi.org/10.1111/tmi.12329</t>
  </si>
  <si>
    <t xml:space="preserve"> https://doi.org/10.1016/j.ijheh.2019.05.004</t>
  </si>
  <si>
    <t>3. Prüss-Ustün A, Bartram J, Clasen F, Colford JM, Cumming O, Curtis V et al. (2014) Burden of disease from inadequate water, sanitation and hygiene in low- and middle-income settings: a retrospective analysis of data from 145 countries. Trop Med Int Health, 19(8), 894-905</t>
  </si>
  <si>
    <t>4. Prüss-Ustün A, Wolf J, Bartram J, Clasen T, Cumming O, Freeman MC, et al. (2019) Burden of disease from inadequate water, sanitation and hygiene for selected adverse health outcomes: An updated analysis with a focus on low- and middle-income countries. Int J Hyg Environ Health, 222(5), 765-777</t>
  </si>
  <si>
    <t>WASH and diarrhoea</t>
  </si>
  <si>
    <t>WASH and ARIs</t>
  </si>
  <si>
    <t>*assume 100% of intestinal nematodes attributable to WASH</t>
  </si>
  <si>
    <t>iso3</t>
  </si>
  <si>
    <t>dths_under5_110</t>
  </si>
  <si>
    <t>dths110f</t>
  </si>
  <si>
    <t>dths110m</t>
  </si>
  <si>
    <t>dths_allages_110</t>
  </si>
  <si>
    <t>daly_under5_110</t>
  </si>
  <si>
    <t>daly_allages_110</t>
  </si>
  <si>
    <t>daly110f</t>
  </si>
  <si>
    <t>daly110m</t>
  </si>
  <si>
    <t>AFG</t>
  </si>
  <si>
    <t>AGO</t>
  </si>
  <si>
    <t>ALB</t>
  </si>
  <si>
    <t>ARG</t>
  </si>
  <si>
    <t>ARM</t>
  </si>
  <si>
    <t>AZE</t>
  </si>
  <si>
    <t>BDI</t>
  </si>
  <si>
    <t>BEN</t>
  </si>
  <si>
    <t>BFA</t>
  </si>
  <si>
    <t>BGD</t>
  </si>
  <si>
    <t>BGR</t>
  </si>
  <si>
    <t>BIH</t>
  </si>
  <si>
    <t>BLR</t>
  </si>
  <si>
    <t>BLZ</t>
  </si>
  <si>
    <t>BOL</t>
  </si>
  <si>
    <t>BRA</t>
  </si>
  <si>
    <t>BTN</t>
  </si>
  <si>
    <t>BWA</t>
  </si>
  <si>
    <t>CAF</t>
  </si>
  <si>
    <t>CHN</t>
  </si>
  <si>
    <t>CIV</t>
  </si>
  <si>
    <t>CMR</t>
  </si>
  <si>
    <t>COD</t>
  </si>
  <si>
    <t>COG</t>
  </si>
  <si>
    <t>COL</t>
  </si>
  <si>
    <t>COM</t>
  </si>
  <si>
    <t>CPV</t>
  </si>
  <si>
    <t>CRI</t>
  </si>
  <si>
    <t>CUB</t>
  </si>
  <si>
    <t>DJI</t>
  </si>
  <si>
    <t>DOM</t>
  </si>
  <si>
    <t>DZA</t>
  </si>
  <si>
    <t>ECU</t>
  </si>
  <si>
    <t>EGY</t>
  </si>
  <si>
    <t>ERI</t>
  </si>
  <si>
    <t>ETH</t>
  </si>
  <si>
    <t>FJI</t>
  </si>
  <si>
    <t>FSM</t>
  </si>
  <si>
    <t>GAB</t>
  </si>
  <si>
    <t>GEO</t>
  </si>
  <si>
    <t>GHA</t>
  </si>
  <si>
    <t>GIN</t>
  </si>
  <si>
    <t>GMB</t>
  </si>
  <si>
    <t>GNB</t>
  </si>
  <si>
    <t>GNQ</t>
  </si>
  <si>
    <t>GRD</t>
  </si>
  <si>
    <t>GTM</t>
  </si>
  <si>
    <t>GUY</t>
  </si>
  <si>
    <t>HND</t>
  </si>
  <si>
    <t>HTI</t>
  </si>
  <si>
    <t>IDN</t>
  </si>
  <si>
    <t>IND</t>
  </si>
  <si>
    <t>IRN</t>
  </si>
  <si>
    <t>IRQ</t>
  </si>
  <si>
    <t>JAM</t>
  </si>
  <si>
    <t>JOR</t>
  </si>
  <si>
    <t>KAZ</t>
  </si>
  <si>
    <t>KEN</t>
  </si>
  <si>
    <t>KGZ</t>
  </si>
  <si>
    <t>KHM</t>
  </si>
  <si>
    <t>KIR</t>
  </si>
  <si>
    <t>LAO</t>
  </si>
  <si>
    <t>LBN</t>
  </si>
  <si>
    <t>LBR</t>
  </si>
  <si>
    <t>LBY</t>
  </si>
  <si>
    <t>LCA</t>
  </si>
  <si>
    <t>LKA</t>
  </si>
  <si>
    <t>LSO</t>
  </si>
  <si>
    <t>MAR</t>
  </si>
  <si>
    <t>MDA</t>
  </si>
  <si>
    <t>MDG</t>
  </si>
  <si>
    <t>MDV</t>
  </si>
  <si>
    <t>MEX</t>
  </si>
  <si>
    <t>MKD</t>
  </si>
  <si>
    <t>MLI</t>
  </si>
  <si>
    <t>MMR</t>
  </si>
  <si>
    <t>MNE</t>
  </si>
  <si>
    <t>MNG</t>
  </si>
  <si>
    <t>MOZ</t>
  </si>
  <si>
    <t>MRT</t>
  </si>
  <si>
    <t>MUS</t>
  </si>
  <si>
    <t>MWI</t>
  </si>
  <si>
    <t>MYS</t>
  </si>
  <si>
    <t>NAM</t>
  </si>
  <si>
    <t>NER</t>
  </si>
  <si>
    <t>NGA</t>
  </si>
  <si>
    <t>NIC</t>
  </si>
  <si>
    <t>NPL</t>
  </si>
  <si>
    <t>PAK</t>
  </si>
  <si>
    <t>PAN</t>
  </si>
  <si>
    <t>PER</t>
  </si>
  <si>
    <t>PHL</t>
  </si>
  <si>
    <t>PNG</t>
  </si>
  <si>
    <t>PRK</t>
  </si>
  <si>
    <t>PRY</t>
  </si>
  <si>
    <t>ROU</t>
  </si>
  <si>
    <t>RUS</t>
  </si>
  <si>
    <t>RWA</t>
  </si>
  <si>
    <t>SDN</t>
  </si>
  <si>
    <t>SEN</t>
  </si>
  <si>
    <t>SLB</t>
  </si>
  <si>
    <t>SLE</t>
  </si>
  <si>
    <t>SLV</t>
  </si>
  <si>
    <t>SOM</t>
  </si>
  <si>
    <t>SRB</t>
  </si>
  <si>
    <t>SSD</t>
  </si>
  <si>
    <t>STP</t>
  </si>
  <si>
    <t>SUR</t>
  </si>
  <si>
    <t>SWZ</t>
  </si>
  <si>
    <t>SYR</t>
  </si>
  <si>
    <t>TCD</t>
  </si>
  <si>
    <t>TGO</t>
  </si>
  <si>
    <t>THA</t>
  </si>
  <si>
    <t>TJK</t>
  </si>
  <si>
    <t>TKM</t>
  </si>
  <si>
    <t>TLS</t>
  </si>
  <si>
    <t>TON</t>
  </si>
  <si>
    <t>TUN</t>
  </si>
  <si>
    <t>TUR</t>
  </si>
  <si>
    <t>TZA</t>
  </si>
  <si>
    <t>UGA</t>
  </si>
  <si>
    <t>UKR</t>
  </si>
  <si>
    <t>UZB</t>
  </si>
  <si>
    <t>VCT</t>
  </si>
  <si>
    <t>VEN</t>
  </si>
  <si>
    <t>VNM</t>
  </si>
  <si>
    <t>VUT</t>
  </si>
  <si>
    <t>WSM</t>
  </si>
  <si>
    <t>YEM</t>
  </si>
  <si>
    <t>ZAF</t>
  </si>
  <si>
    <t>ZMB</t>
  </si>
  <si>
    <t>ZWE</t>
  </si>
  <si>
    <t>DALYS (000)</t>
  </si>
  <si>
    <t>Population using basic, but not safely managed services</t>
  </si>
  <si>
    <t>Population using unimproved/limited services (non-basic)</t>
  </si>
  <si>
    <t>Population using unimproved/limited sanitation services (non-basic)</t>
  </si>
  <si>
    <t>Population using basic, but not connected to sewer</t>
  </si>
  <si>
    <t>Population not practicing  handwashing with soap after faecal contact</t>
  </si>
  <si>
    <t>Population using at least basic sanitation services connected to sewer</t>
  </si>
  <si>
    <t>name</t>
  </si>
  <si>
    <t>pop_0to4_male</t>
  </si>
  <si>
    <t>pop_0to4_female</t>
  </si>
  <si>
    <t>pop_tot_male</t>
  </si>
  <si>
    <t>pop_tot_female</t>
  </si>
  <si>
    <t>pop_tot</t>
  </si>
  <si>
    <t>pop_0to4_tot</t>
  </si>
  <si>
    <t>dths_allages_380</t>
  </si>
  <si>
    <t>daly_allages_380</t>
  </si>
  <si>
    <t>dths_under5_380</t>
  </si>
  <si>
    <t>daly_under5_380</t>
  </si>
  <si>
    <t>dths380f</t>
  </si>
  <si>
    <t>daly380f</t>
  </si>
  <si>
    <t>dths380m</t>
  </si>
  <si>
    <t>daly380m</t>
  </si>
  <si>
    <t>dths_under5_550</t>
  </si>
  <si>
    <t>daly_under5_550</t>
  </si>
  <si>
    <t>Afghanistan</t>
  </si>
  <si>
    <t>Angola</t>
  </si>
  <si>
    <t>Albania</t>
  </si>
  <si>
    <t>Argentina</t>
  </si>
  <si>
    <t>Armenia</t>
  </si>
  <si>
    <t>Azerbaijan</t>
  </si>
  <si>
    <t>Burundi</t>
  </si>
  <si>
    <t>Benin</t>
  </si>
  <si>
    <t>Burkina Faso</t>
  </si>
  <si>
    <t>Bangladesh</t>
  </si>
  <si>
    <t>Bulgaria</t>
  </si>
  <si>
    <t>Bosnia and Herzegovina</t>
  </si>
  <si>
    <t>Belarus</t>
  </si>
  <si>
    <t>Belize</t>
  </si>
  <si>
    <t>Brazil</t>
  </si>
  <si>
    <t>Bhutan</t>
  </si>
  <si>
    <t>Botswana</t>
  </si>
  <si>
    <t>Central African Republic</t>
  </si>
  <si>
    <t>China</t>
  </si>
  <si>
    <t>Cameroon</t>
  </si>
  <si>
    <t>Democratic Republic of the Congo</t>
  </si>
  <si>
    <t>Congo</t>
  </si>
  <si>
    <t>Colombia</t>
  </si>
  <si>
    <t>Comoros</t>
  </si>
  <si>
    <t>Cabo Verde</t>
  </si>
  <si>
    <t>Costa Rica</t>
  </si>
  <si>
    <t>Cuba</t>
  </si>
  <si>
    <t>Djibouti</t>
  </si>
  <si>
    <t>Dominican Republic</t>
  </si>
  <si>
    <t>Algeria</t>
  </si>
  <si>
    <t>Ecuador</t>
  </si>
  <si>
    <t>Egypt</t>
  </si>
  <si>
    <t>Eritrea</t>
  </si>
  <si>
    <t>Ethiopia</t>
  </si>
  <si>
    <t>Fiji</t>
  </si>
  <si>
    <t>Micronesia (Federated States of)</t>
  </si>
  <si>
    <t>Gabon</t>
  </si>
  <si>
    <t>Georgia</t>
  </si>
  <si>
    <t>Ghana</t>
  </si>
  <si>
    <t>Guinea</t>
  </si>
  <si>
    <t>Gambia</t>
  </si>
  <si>
    <t>Guinea-Bissau</t>
  </si>
  <si>
    <t>Equatorial Guinea</t>
  </si>
  <si>
    <t>Grenada</t>
  </si>
  <si>
    <t>Guatemala</t>
  </si>
  <si>
    <t>Guyana</t>
  </si>
  <si>
    <t>Honduras</t>
  </si>
  <si>
    <t>Haiti</t>
  </si>
  <si>
    <t>Indonesia</t>
  </si>
  <si>
    <t>India</t>
  </si>
  <si>
    <t>Iran (Islamic Republic of)</t>
  </si>
  <si>
    <t>Iraq</t>
  </si>
  <si>
    <t>Jamaica</t>
  </si>
  <si>
    <t>Jordan</t>
  </si>
  <si>
    <t>Kazakhstan</t>
  </si>
  <si>
    <t>Kenya</t>
  </si>
  <si>
    <t>Kyrgyzstan</t>
  </si>
  <si>
    <t>Cambodia</t>
  </si>
  <si>
    <t>Kiribati</t>
  </si>
  <si>
    <t>Lao People's Democratic Republic</t>
  </si>
  <si>
    <t>Lebanon</t>
  </si>
  <si>
    <t>Liberia</t>
  </si>
  <si>
    <t>Libya</t>
  </si>
  <si>
    <t>Saint Lucia</t>
  </si>
  <si>
    <t>Sri Lanka</t>
  </si>
  <si>
    <t>Lesotho</t>
  </si>
  <si>
    <t>Morocco</t>
  </si>
  <si>
    <t>Republic of Moldova</t>
  </si>
  <si>
    <t>Madagascar</t>
  </si>
  <si>
    <t>Maldives</t>
  </si>
  <si>
    <t>Mexico</t>
  </si>
  <si>
    <t>North Macedonia</t>
  </si>
  <si>
    <t>Mali</t>
  </si>
  <si>
    <t>Myanmar</t>
  </si>
  <si>
    <t>Montenegro</t>
  </si>
  <si>
    <t>Mongolia</t>
  </si>
  <si>
    <t>Mozambique</t>
  </si>
  <si>
    <t>Mauritania</t>
  </si>
  <si>
    <t>Mauritius</t>
  </si>
  <si>
    <t>Malawi</t>
  </si>
  <si>
    <t>Malaysia</t>
  </si>
  <si>
    <t>Namibia</t>
  </si>
  <si>
    <t>Niger</t>
  </si>
  <si>
    <t>Nigeria</t>
  </si>
  <si>
    <t>Nicaragua</t>
  </si>
  <si>
    <t>Nepal</t>
  </si>
  <si>
    <t>Pakistan</t>
  </si>
  <si>
    <t>Panama</t>
  </si>
  <si>
    <t>Peru</t>
  </si>
  <si>
    <t>Philippines</t>
  </si>
  <si>
    <t>Papua New Guinea</t>
  </si>
  <si>
    <t>Democratic People's Republic of Korea</t>
  </si>
  <si>
    <t>Paraguay</t>
  </si>
  <si>
    <t>Romania</t>
  </si>
  <si>
    <t>Russian Federation</t>
  </si>
  <si>
    <t>Rwanda</t>
  </si>
  <si>
    <t>Sudan</t>
  </si>
  <si>
    <t>Senegal</t>
  </si>
  <si>
    <t>Solomon Islands</t>
  </si>
  <si>
    <t>Sierra Leone</t>
  </si>
  <si>
    <t>El Salvador</t>
  </si>
  <si>
    <t>Somalia</t>
  </si>
  <si>
    <t>Serbia</t>
  </si>
  <si>
    <t>South Sudan</t>
  </si>
  <si>
    <t>Sao Tome and Principe</t>
  </si>
  <si>
    <t>Suriname</t>
  </si>
  <si>
    <t>Eswatini</t>
  </si>
  <si>
    <t>Syrian Arab Republic</t>
  </si>
  <si>
    <t>Chad</t>
  </si>
  <si>
    <t>Togo</t>
  </si>
  <si>
    <t>Thailand</t>
  </si>
  <si>
    <t>Tajikistan</t>
  </si>
  <si>
    <t>Turkmenistan</t>
  </si>
  <si>
    <t>Timor-Leste</t>
  </si>
  <si>
    <t>Tonga</t>
  </si>
  <si>
    <t>Tunisia</t>
  </si>
  <si>
    <t>United Republic of Tanzania</t>
  </si>
  <si>
    <t>Uganda</t>
  </si>
  <si>
    <t>Ukraine</t>
  </si>
  <si>
    <t>Uzbekistan</t>
  </si>
  <si>
    <t>Saint Vincent and the Grenadines</t>
  </si>
  <si>
    <t>Viet Nam</t>
  </si>
  <si>
    <t>Vanuatu</t>
  </si>
  <si>
    <t>Samoa</t>
  </si>
  <si>
    <t>Yemen</t>
  </si>
  <si>
    <t>South Africa</t>
  </si>
  <si>
    <t>Zambia</t>
  </si>
  <si>
    <t>Zimbabwe</t>
  </si>
  <si>
    <t xml:space="preserve">Population </t>
  </si>
  <si>
    <t>*Autopopulated from UNSD</t>
  </si>
  <si>
    <t>*Autopopulated from WHO GHE 2019</t>
  </si>
  <si>
    <t>All 
deaths</t>
  </si>
  <si>
    <t>Unimproved vs counterfactual</t>
  </si>
  <si>
    <t>All 
DALYs</t>
  </si>
  <si>
    <t>All diseases</t>
  </si>
  <si>
    <t>WSH total</t>
  </si>
  <si>
    <t>Population using safely managed services (adjusted)</t>
  </si>
  <si>
    <t>country</t>
  </si>
  <si>
    <t>year</t>
  </si>
  <si>
    <t>JMP_wat_imp_nat</t>
  </si>
  <si>
    <t>MLM_wat_imp_nat</t>
  </si>
  <si>
    <t>MLM_wat_imp_lcl</t>
  </si>
  <si>
    <t>MLM_wat_imp_ucl</t>
  </si>
  <si>
    <t>JMP_wat_bas_nat</t>
  </si>
  <si>
    <t>MLM_wat_bas_nat</t>
  </si>
  <si>
    <t>MLM_wat_bas_lcl</t>
  </si>
  <si>
    <t>MLM_wat_bas_ucl</t>
  </si>
  <si>
    <t>JMP_wat_premiseimp_nat</t>
  </si>
  <si>
    <t>MLM_wat_premiseimp_nat</t>
  </si>
  <si>
    <t>MLM_wat_premiseimp_lcl</t>
  </si>
  <si>
    <t>MLM_wat_premiseimp_ucl</t>
  </si>
  <si>
    <t>JMP_wat_sm_nat</t>
  </si>
  <si>
    <t>MLM_wat_sm_nat</t>
  </si>
  <si>
    <t>MLM_wat_sm_lcl</t>
  </si>
  <si>
    <t>MLM_wat_sm_ucl</t>
  </si>
  <si>
    <t>MLM_wat_sm_nat_adj</t>
  </si>
  <si>
    <t>MLM_wat_sm_adj_lcl</t>
  </si>
  <si>
    <t>MLM_wat_sm_adj_ucl</t>
  </si>
  <si>
    <t>JMP_san_bas_nat</t>
  </si>
  <si>
    <t>MLM_san_bas_nat</t>
  </si>
  <si>
    <t>MLM_san_bas_lcl</t>
  </si>
  <si>
    <t>MLM_san_bas_ucl</t>
  </si>
  <si>
    <t>JMP_san_sew_nat</t>
  </si>
  <si>
    <t>MLM_san_bassew_nat</t>
  </si>
  <si>
    <t>MLM_san_bassew_lcl</t>
  </si>
  <si>
    <t>MLM_san_bassew_ucl</t>
  </si>
  <si>
    <t>JMP_san_sm_nat</t>
  </si>
  <si>
    <t>JMP_hyg_hwstation_nat</t>
  </si>
  <si>
    <t>MLM_hyg_hwstation_nat</t>
  </si>
  <si>
    <t>MLM_hyg_hwstation_lcl</t>
  </si>
  <si>
    <t>MLM_hyg_hwstation_ucl</t>
  </si>
  <si>
    <t>MLM_hyg_hwws_nat</t>
  </si>
  <si>
    <t>MLM_hyg_hwws_lcl</t>
  </si>
  <si>
    <t>MLM_hyg_hwws_ucl</t>
  </si>
  <si>
    <t>MLM_wat_imp_filterboil_nat</t>
  </si>
  <si>
    <t>MLM_wat_imp_chlor_nat</t>
  </si>
  <si>
    <t>MLM_wat_imp_solar_nat</t>
  </si>
  <si>
    <t>MLM_wat_unimp_filterboil_nat</t>
  </si>
  <si>
    <t>MLM_wat_unimp_chlor_nat</t>
  </si>
  <si>
    <t>MLM_wat_unimp_solar_nat</t>
  </si>
  <si>
    <t>Cape Verde</t>
  </si>
  <si>
    <t>Libyan Arab Jamahiriya</t>
  </si>
  <si>
    <t>Türkiye</t>
  </si>
  <si>
    <t>Venezuela, Bolivarian Republic of</t>
  </si>
  <si>
    <t>Population (thousands)</t>
  </si>
  <si>
    <t>3. Exposure-response relationship (relative risks)</t>
  </si>
  <si>
    <t>https://unstats.un.org/sdgs/metadata/files/Metadata-03-09-02.pdf</t>
  </si>
  <si>
    <t>Drinking-water sources</t>
  </si>
  <si>
    <t>Point of use (POU) water treatment</t>
  </si>
  <si>
    <t>dths_wash340_350_360_median</t>
  </si>
  <si>
    <t>daly_wash340_350_360_median</t>
  </si>
  <si>
    <t>dths_u5_wash340_350_360_med</t>
  </si>
  <si>
    <t>daly_u5_wash340_350_360_med</t>
  </si>
  <si>
    <t>dths_f_wash340_350_360_med</t>
  </si>
  <si>
    <t>daly_f_wash340_350_360_med</t>
  </si>
  <si>
    <t>dths_m_wash340_350_360_med</t>
  </si>
  <si>
    <t>daly_m_wash340_350_360_med</t>
  </si>
  <si>
    <t>NA</t>
  </si>
  <si>
    <t>Population using basic, but not safely managed services (adjusted)</t>
  </si>
  <si>
    <t>Country (Please select from list)</t>
  </si>
  <si>
    <r>
      <t xml:space="preserve">Population </t>
    </r>
    <r>
      <rPr>
        <b/>
        <sz val="11"/>
        <rFont val="Calibri"/>
        <family val="2"/>
        <scheme val="minor"/>
      </rPr>
      <t xml:space="preserve">filter/boil </t>
    </r>
    <r>
      <rPr>
        <sz val="11"/>
        <rFont val="Calibri"/>
        <family val="2"/>
        <scheme val="minor"/>
      </rPr>
      <t>drinking-water at point-of-use</t>
    </r>
  </si>
  <si>
    <r>
      <t xml:space="preserve">Population </t>
    </r>
    <r>
      <rPr>
        <b/>
        <sz val="11"/>
        <rFont val="Calibri"/>
        <family val="2"/>
      </rPr>
      <t xml:space="preserve">chlorinate </t>
    </r>
    <r>
      <rPr>
        <sz val="11"/>
        <rFont val="Calibri"/>
        <family val="2"/>
      </rPr>
      <t>drinking-water at point of use</t>
    </r>
  </si>
  <si>
    <r>
      <t xml:space="preserve">Population </t>
    </r>
    <r>
      <rPr>
        <b/>
        <sz val="11"/>
        <rFont val="Calibri"/>
        <family val="2"/>
      </rPr>
      <t xml:space="preserve">use solar disinfection </t>
    </r>
    <r>
      <rPr>
        <sz val="11"/>
        <rFont val="Calibri"/>
        <family val="2"/>
      </rPr>
      <t>at point of use</t>
    </r>
  </si>
  <si>
    <t>Population not treating water at the point of use</t>
  </si>
  <si>
    <r>
      <rPr>
        <b/>
        <sz val="11"/>
        <rFont val="Calibri"/>
        <family val="2"/>
        <scheme val="minor"/>
      </rPr>
      <t>Among those using unimproved/limited water source</t>
    </r>
    <r>
      <rPr>
        <sz val="11"/>
        <rFont val="Calibri"/>
        <family val="2"/>
        <scheme val="minor"/>
      </rPr>
      <t>:</t>
    </r>
  </si>
  <si>
    <t>Among those using basic not safely managed water source:</t>
  </si>
  <si>
    <t>Further information on data sources and methods can be found on the SDG indidator metadata repository:</t>
  </si>
  <si>
    <t>SECTION B. Exposure-disease relationship: constant for all countries</t>
  </si>
  <si>
    <t>Section A. Input: country specfic estimates</t>
  </si>
  <si>
    <t>SECTION C. Output data</t>
  </si>
  <si>
    <t>Not practising handwashing with soap after toilet use vs counterfactual</t>
  </si>
  <si>
    <t>Basic sanitation not connected to sewer vs counterfactual</t>
  </si>
  <si>
    <t>paf_waz_diar_mean</t>
  </si>
  <si>
    <t>paf_whz_diar_mean</t>
  </si>
  <si>
    <t>Dominica</t>
  </si>
  <si>
    <t>DMA</t>
  </si>
  <si>
    <t>Marshall Islands</t>
  </si>
  <si>
    <t>MHL</t>
  </si>
  <si>
    <t>Palestine</t>
  </si>
  <si>
    <t>PSE</t>
  </si>
  <si>
    <t>Scientific review of the literature on the impact of WASH on diarrhoea (Wolf et al 2022)</t>
  </si>
  <si>
    <r>
      <t xml:space="preserve">*Autopopulated from UNSD included in the </t>
    </r>
    <r>
      <rPr>
        <b/>
        <i/>
        <sz val="11"/>
        <rFont val="Calibri"/>
        <family val="2"/>
        <scheme val="minor"/>
      </rPr>
      <t>Population and GHE</t>
    </r>
    <r>
      <rPr>
        <sz val="11"/>
        <rFont val="Calibri"/>
        <family val="2"/>
        <scheme val="minor"/>
      </rPr>
      <t xml:space="preserve"> tab</t>
    </r>
  </si>
  <si>
    <t>PLEASE SELECT FROM DROP DOWN LIST</t>
  </si>
  <si>
    <r>
      <t>Country</t>
    </r>
    <r>
      <rPr>
        <b/>
        <sz val="13"/>
        <color rgb="FFFF0000"/>
        <rFont val="Calibri"/>
        <family val="2"/>
      </rPr>
      <t xml:space="preserve"> </t>
    </r>
  </si>
  <si>
    <t>combined_PAF_nut</t>
  </si>
  <si>
    <r>
      <t xml:space="preserve">*Autopopulated from WHO GHE 2019 data included in the </t>
    </r>
    <r>
      <rPr>
        <b/>
        <i/>
        <sz val="11"/>
        <rFont val="Calibri"/>
        <family val="2"/>
        <scheme val="minor"/>
      </rPr>
      <t>Population and GHE</t>
    </r>
    <r>
      <rPr>
        <sz val="11"/>
        <rFont val="Calibri"/>
        <family val="2"/>
        <scheme val="minor"/>
      </rPr>
      <t xml:space="preserve"> tab </t>
    </r>
  </si>
  <si>
    <t xml:space="preserve">*calculated using PAF of undernutrition attributed to diarrhoea </t>
  </si>
  <si>
    <t>*MR for undernutrition calculated using all ages population as denominator</t>
  </si>
  <si>
    <r>
      <t xml:space="preserve">*Cells in black are autopopulated from modelled JMP data in the </t>
    </r>
    <r>
      <rPr>
        <b/>
        <i/>
        <sz val="11"/>
        <rFont val="Calibri"/>
        <family val="2"/>
        <scheme val="minor"/>
      </rPr>
      <t>Exposures</t>
    </r>
    <r>
      <rPr>
        <sz val="11"/>
        <rFont val="Calibri"/>
        <family val="2"/>
        <scheme val="minor"/>
      </rPr>
      <t xml:space="preserve"> tab, cells in red are simple arithmatic calculations to produce the variables needed in the PAF calculation formula</t>
    </r>
  </si>
  <si>
    <t>2. Ezzati M, Lopez AD, Rodgers A, Vander Hoorn S, Murray CJ et al. (2002) Selected major risk factors and global and regional burden of disease. Lancet, 360(9343), 1347-1360</t>
  </si>
  <si>
    <t>1. . Wolf J, Johnston RB, Ambelu A, Arnold BF, Bain R, Brauer M et al. (2023). Burden of disease attributable to unsafe drinking water, sanitation, and hygiene in domestic settings: a global analysis for selected adverse health outcomes. Lancet. 401(10393):2060-2071</t>
  </si>
  <si>
    <t>https://doi.org/10.1016/S0140-6736(23)00458-0</t>
  </si>
  <si>
    <t>Scientific review of the literature on the impact of hygiene on ARIs (Ross et al.  2023)</t>
  </si>
  <si>
    <t>Data sources</t>
  </si>
  <si>
    <t>Population estimates (UNPD)</t>
  </si>
  <si>
    <t>https://doi.org/10.1016/S0140-6736(02)11403-6</t>
  </si>
  <si>
    <t>Deaths from diarrhoea (WHO global Health Estimates)</t>
  </si>
  <si>
    <t>DALYs from diarrhoea (optional) (WHO Global Health Estimates)</t>
  </si>
  <si>
    <t>Bolivia</t>
  </si>
  <si>
    <t xml:space="preserve">Below are the links to the four data sources mentioned above. Some rows download files directly to computer. </t>
  </si>
  <si>
    <t>After clicking, check 'downloads' folder:</t>
  </si>
  <si>
    <t>Côte d'Ivoire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</si>
</sst>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
    <numFmt numFmtId="166" formatCode="#\ ###\ ###"/>
    <numFmt numFmtId="167" formatCode="0.000"/>
    <numFmt numFmtId="168" formatCode="#,##0.000"/>
    <numFmt numFmtId="169" formatCode="#,##0_);[Red]\(#,##0\);&quot;No change&quot;"/>
    <numFmt numFmtId="170" formatCode="0.00000000000"/>
    <numFmt numFmtId="171" formatCode="0.0%"/>
    <numFmt numFmtId="172" formatCode="#,##0.0_);[Red]\(#,##0.0\);&quot;No change&quot;"/>
    <numFmt numFmtId="173" formatCode="#,##0.00_);[Red]\(#,##0.00\);&quot;No change&quot;"/>
    <numFmt numFmtId="174" formatCode="#0.0%;[Red]\(#0.0%\);&quot;No change&quot;"/>
  </numFmts>
  <fonts count="51">
    <font>
      <sz val="11"/>
      <color theme="1"/>
      <name val="Calibri"/>
      <family val="2"/>
      <scheme val="minor"/>
    </font>
    <font>
      <sz val="11"/>
      <color theme="1"/>
      <name val="Calibri"/>
      <family val="2"/>
      <scheme val="minor"/>
    </font>
    <font>
      <sz val="14"/>
      <name val="Calibri"/>
      <family val="2"/>
    </font>
    <font>
      <b/>
      <sz val="14"/>
      <name val="Calibri"/>
      <family val="2"/>
    </font>
    <font>
      <sz val="11"/>
      <name val="Calibri"/>
      <family val="2"/>
    </font>
    <font>
      <b/>
      <sz val="11"/>
      <name val="Calibri"/>
      <family val="2"/>
    </font>
    <font>
      <b/>
      <sz val="12"/>
      <name val="Calibri"/>
      <family val="2"/>
    </font>
    <font>
      <sz val="12"/>
      <name val="Calibri"/>
      <family val="2"/>
    </font>
    <font>
      <sz val="10"/>
      <name val="Arial"/>
      <family val="2"/>
    </font>
    <font>
      <sz val="6.5"/>
      <name val="Arial"/>
      <family val="2"/>
    </font>
    <font>
      <i/>
      <sz val="10"/>
      <name val="Arial"/>
      <family val="2"/>
    </font>
    <font>
      <b/>
      <sz val="11"/>
      <name val="Calibri"/>
      <family val="2"/>
      <scheme val="minor"/>
    </font>
    <font>
      <sz val="12"/>
      <name val="Calibri"/>
      <family val="2"/>
      <scheme val="minor"/>
    </font>
    <font>
      <sz val="11"/>
      <name val="Calibri"/>
      <family val="2"/>
      <scheme val="minor"/>
    </font>
    <font>
      <b/>
      <sz val="14"/>
      <name val="Calibri"/>
      <family val="2"/>
      <scheme val="minor"/>
    </font>
    <font>
      <b/>
      <sz val="13"/>
      <name val="Calibri"/>
      <family val="2"/>
      <scheme val="minor"/>
    </font>
    <font>
      <b/>
      <sz val="13"/>
      <name val="Calibri"/>
      <family val="2"/>
    </font>
    <font>
      <b/>
      <sz val="12"/>
      <name val="Calibri"/>
      <family val="2"/>
      <scheme val="minor"/>
    </font>
    <font>
      <b/>
      <sz val="11"/>
      <color theme="1"/>
      <name val="Calibri"/>
      <family val="2"/>
      <scheme val="minor"/>
    </font>
    <font>
      <u/>
      <sz val="10"/>
      <color indexed="12"/>
      <name val="Arial"/>
      <family val="2"/>
    </font>
    <font>
      <b/>
      <sz val="13"/>
      <color rgb="FF2F5496"/>
      <name val="Calibri"/>
      <family val="2"/>
      <scheme val="minor"/>
    </font>
    <font>
      <u/>
      <sz val="11"/>
      <color indexed="12"/>
      <name val="Calibri"/>
      <family val="2"/>
      <scheme val="minor"/>
    </font>
    <font>
      <b/>
      <sz val="11"/>
      <color rgb="FF2F5496"/>
      <name val="Calibri "/>
    </font>
    <font>
      <sz val="9"/>
      <color theme="1"/>
      <name val="Calibri "/>
    </font>
    <font>
      <u/>
      <sz val="10"/>
      <color indexed="12"/>
      <name val="Calibri "/>
    </font>
    <font>
      <sz val="10"/>
      <name val="Calibri"/>
      <family val="2"/>
      <scheme val="minor"/>
    </font>
    <font>
      <sz val="10"/>
      <name val="Calibri"/>
      <family val="2"/>
    </font>
    <font>
      <b/>
      <sz val="15"/>
      <name val="Calibri"/>
      <family val="2"/>
    </font>
    <font>
      <sz val="11"/>
      <color rgb="FFFF0000"/>
      <name val="Calibri"/>
      <family val="2"/>
      <scheme val="minor"/>
    </font>
    <font>
      <sz val="11"/>
      <color rgb="FFFF0000"/>
      <name val="Calibri"/>
      <family val="2"/>
    </font>
    <font>
      <sz val="11"/>
      <color theme="4" tint="0.59999389629810485"/>
      <name val="Calibri"/>
      <family val="2"/>
    </font>
    <font>
      <sz val="11"/>
      <color theme="4" tint="0.59999389629810485"/>
      <name val="Calibri"/>
      <family val="2"/>
      <scheme val="minor"/>
    </font>
    <font>
      <b/>
      <sz val="12"/>
      <color theme="4"/>
      <name val="Calibri"/>
      <family val="2"/>
      <scheme val="minor"/>
    </font>
    <font>
      <b/>
      <sz val="12"/>
      <color theme="8" tint="-0.499984740745262"/>
      <name val="Calibri"/>
      <family val="2"/>
      <scheme val="minor"/>
    </font>
    <font>
      <sz val="11"/>
      <color theme="9" tint="-0.249977111117893"/>
      <name val="Calibri"/>
      <family val="2"/>
    </font>
    <font>
      <sz val="11"/>
      <color theme="9" tint="-0.249977111117893"/>
      <name val="Calibri"/>
      <family val="2"/>
      <scheme val="minor"/>
    </font>
    <font>
      <sz val="10"/>
      <color rgb="FFFF0000"/>
      <name val="Calibri"/>
      <family val="2"/>
    </font>
    <font>
      <sz val="13"/>
      <name val="Calibri"/>
      <family val="2"/>
    </font>
    <font>
      <sz val="16"/>
      <color rgb="FF2F5496"/>
      <name val="Calibri"/>
      <family val="2"/>
    </font>
    <font>
      <b/>
      <i/>
      <sz val="11"/>
      <name val="Calibri"/>
      <family val="2"/>
      <scheme val="minor"/>
    </font>
    <font>
      <i/>
      <sz val="11"/>
      <name val="Arial"/>
      <family val="2"/>
    </font>
    <font>
      <b/>
      <sz val="13"/>
      <color rgb="FFFF0000"/>
      <name val="Calibri"/>
      <family val="2"/>
    </font>
    <font>
      <sz val="12"/>
      <color theme="9" tint="-0.249977111117893"/>
      <name val="Calibri"/>
      <family val="2"/>
      <scheme val="minor"/>
    </font>
    <font>
      <i/>
      <sz val="10"/>
      <color theme="9" tint="-0.249977111117893"/>
      <name val="Arial"/>
      <family val="2"/>
    </font>
    <font>
      <i/>
      <sz val="11"/>
      <color theme="9" tint="-0.249977111117893"/>
      <name val="Arial"/>
      <family val="2"/>
    </font>
    <font>
      <b/>
      <sz val="12"/>
      <color theme="9" tint="-0.249977111117893"/>
      <name val="Calibri"/>
      <family val="2"/>
      <scheme val="minor"/>
    </font>
    <font>
      <sz val="12"/>
      <color rgb="FFFF0000"/>
      <name val="Calibri"/>
      <family val="2"/>
      <scheme val="minor"/>
    </font>
    <font>
      <sz val="15"/>
      <color theme="1"/>
      <name val="Arial Nova"/>
      <family val="2"/>
    </font>
    <font>
      <sz val="15"/>
      <color rgb="FF2F5496"/>
      <name val="Arial Nova"/>
      <family val="2"/>
    </font>
    <font>
      <sz val="11"/>
      <color theme="9"/>
      <name val="Calibri"/>
      <family val="2"/>
      <scheme val="minor"/>
    </font>
    <font>
      <sz val="10"/>
      <color theme="1"/>
      <name val="Calibri"/>
      <family val="2"/>
      <scheme val="minor"/>
    </font>
  </fonts>
  <fills count="21">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FFCCFF"/>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FFF00"/>
        <bgColor indexed="64"/>
      </patternFill>
    </fill>
    <fill>
      <patternFill patternType="gray0625"/>
    </fill>
    <fill>
      <patternFill patternType="gray0625">
        <bgColor theme="0"/>
      </patternFill>
    </fill>
    <fill>
      <patternFill patternType="solid">
        <fgColor theme="4" tint="0.79998168889431442"/>
        <bgColor indexed="64"/>
      </patternFill>
    </fill>
    <fill>
      <patternFill patternType="solid">
        <fgColor rgb="FFF9FAFD"/>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s>
  <cellStyleXfs count="7">
    <xf numFmtId="0" fontId="0" fillId="0" borderId="0"/>
    <xf numFmtId="164" fontId="1"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164" fontId="8" fillId="0" borderId="0" applyFont="0" applyFill="0" applyBorder="0" applyAlignment="0" applyProtection="0"/>
    <xf numFmtId="0" fontId="19" fillId="0" borderId="0" applyNumberFormat="0" applyFill="0" applyBorder="0" applyAlignment="0" applyProtection="0">
      <alignment vertical="top"/>
      <protection locked="0"/>
    </xf>
  </cellStyleXfs>
  <cellXfs count="327">
    <xf numFmtId="0" fontId="0" fillId="0" borderId="0" xfId="0"/>
    <xf numFmtId="0" fontId="7" fillId="0" borderId="0" xfId="0" applyFont="1" applyAlignment="1">
      <alignment vertical="top"/>
    </xf>
    <xf numFmtId="0" fontId="7" fillId="0" borderId="0" xfId="0" applyFont="1" applyAlignment="1">
      <alignment vertical="top" wrapText="1"/>
    </xf>
    <xf numFmtId="0" fontId="13" fillId="0" borderId="0" xfId="0" applyFont="1" applyAlignment="1">
      <alignment vertical="top" wrapText="1"/>
    </xf>
    <xf numFmtId="0" fontId="11" fillId="0" borderId="0" xfId="0" applyFont="1" applyAlignment="1">
      <alignment vertical="top"/>
    </xf>
    <xf numFmtId="0" fontId="4" fillId="0" borderId="0" xfId="0" applyFont="1" applyAlignment="1">
      <alignment vertical="top" wrapText="1"/>
    </xf>
    <xf numFmtId="0" fontId="13" fillId="0" borderId="0" xfId="0" applyFont="1" applyAlignment="1">
      <alignment vertical="top"/>
    </xf>
    <xf numFmtId="0" fontId="11" fillId="0" borderId="0" xfId="0" applyFont="1" applyAlignment="1">
      <alignment vertical="top" wrapText="1"/>
    </xf>
    <xf numFmtId="0" fontId="12" fillId="0" borderId="0" xfId="0" applyFont="1" applyAlignment="1">
      <alignment vertical="top" wrapText="1"/>
    </xf>
    <xf numFmtId="0" fontId="2" fillId="0" borderId="0" xfId="0" applyFont="1" applyAlignment="1">
      <alignment vertical="top" wrapText="1"/>
    </xf>
    <xf numFmtId="165" fontId="4" fillId="0" borderId="0" xfId="0" applyNumberFormat="1" applyFont="1" applyAlignment="1">
      <alignment vertical="top" wrapText="1"/>
    </xf>
    <xf numFmtId="1" fontId="12" fillId="0" borderId="0" xfId="0" applyNumberFormat="1" applyFont="1" applyAlignment="1">
      <alignment vertical="top" wrapText="1"/>
    </xf>
    <xf numFmtId="0" fontId="8" fillId="0" borderId="0" xfId="2" applyAlignment="1">
      <alignment vertical="top" wrapText="1"/>
    </xf>
    <xf numFmtId="167" fontId="13" fillId="0" borderId="0" xfId="0" applyNumberFormat="1" applyFont="1" applyAlignment="1">
      <alignment vertical="top" wrapText="1"/>
    </xf>
    <xf numFmtId="165" fontId="8" fillId="0" borderId="0" xfId="2" applyNumberFormat="1" applyAlignment="1">
      <alignment vertical="top" wrapText="1"/>
    </xf>
    <xf numFmtId="165" fontId="9" fillId="0" borderId="0" xfId="2" applyNumberFormat="1" applyFont="1" applyAlignment="1">
      <alignment vertical="top" wrapText="1"/>
    </xf>
    <xf numFmtId="2" fontId="8" fillId="0" borderId="0" xfId="2" applyNumberFormat="1" applyAlignment="1">
      <alignment vertical="top" wrapText="1"/>
    </xf>
    <xf numFmtId="1" fontId="8" fillId="0" borderId="0" xfId="2" applyNumberFormat="1" applyAlignment="1">
      <alignment vertical="top" wrapText="1"/>
    </xf>
    <xf numFmtId="0" fontId="10" fillId="0" borderId="0" xfId="2" applyFont="1" applyAlignment="1">
      <alignment vertical="top" wrapText="1"/>
    </xf>
    <xf numFmtId="1" fontId="10" fillId="0" borderId="0" xfId="2" applyNumberFormat="1" applyFont="1" applyAlignment="1">
      <alignment vertical="top" wrapText="1"/>
    </xf>
    <xf numFmtId="165" fontId="13" fillId="0" borderId="0" xfId="0" applyNumberFormat="1" applyFont="1" applyAlignment="1">
      <alignment vertical="top" wrapText="1"/>
    </xf>
    <xf numFmtId="0" fontId="4" fillId="3" borderId="3" xfId="0" applyFont="1" applyFill="1" applyBorder="1" applyAlignment="1">
      <alignment vertical="top" wrapText="1"/>
    </xf>
    <xf numFmtId="0" fontId="13" fillId="3" borderId="3" xfId="0" applyFont="1" applyFill="1" applyBorder="1" applyAlignment="1">
      <alignment vertical="top" wrapText="1"/>
    </xf>
    <xf numFmtId="165" fontId="5" fillId="3" borderId="3" xfId="0" applyNumberFormat="1" applyFont="1" applyFill="1" applyBorder="1" applyAlignment="1">
      <alignment vertical="top" wrapText="1"/>
    </xf>
    <xf numFmtId="165" fontId="4" fillId="3" borderId="3" xfId="0" applyNumberFormat="1" applyFont="1" applyFill="1" applyBorder="1" applyAlignment="1">
      <alignment horizontal="center" vertical="top" wrapText="1"/>
    </xf>
    <xf numFmtId="0" fontId="5" fillId="3" borderId="3" xfId="0" applyFont="1" applyFill="1" applyBorder="1" applyAlignment="1">
      <alignment vertical="top" wrapText="1"/>
    </xf>
    <xf numFmtId="0" fontId="17" fillId="0" borderId="0" xfId="0" applyFont="1" applyAlignment="1">
      <alignment horizontal="left" vertical="top" wrapText="1"/>
    </xf>
    <xf numFmtId="0" fontId="13" fillId="0" borderId="3" xfId="0" applyFont="1" applyBorder="1" applyAlignment="1">
      <alignment vertical="top" wrapText="1"/>
    </xf>
    <xf numFmtId="0" fontId="4" fillId="0" borderId="3" xfId="0" applyFont="1" applyBorder="1" applyAlignment="1">
      <alignment vertical="top" wrapText="1"/>
    </xf>
    <xf numFmtId="0" fontId="3" fillId="4" borderId="0" xfId="0" applyFont="1" applyFill="1" applyAlignment="1">
      <alignment vertical="top" wrapText="1"/>
    </xf>
    <xf numFmtId="0" fontId="2" fillId="4" borderId="0" xfId="0" applyFont="1" applyFill="1" applyAlignment="1">
      <alignment vertical="top" wrapText="1"/>
    </xf>
    <xf numFmtId="0" fontId="4" fillId="4" borderId="0" xfId="0" applyFont="1" applyFill="1" applyAlignment="1">
      <alignment vertical="top" wrapText="1"/>
    </xf>
    <xf numFmtId="0" fontId="16" fillId="4" borderId="0" xfId="0" applyFont="1" applyFill="1" applyAlignment="1">
      <alignment vertical="top" wrapText="1"/>
    </xf>
    <xf numFmtId="0" fontId="5" fillId="4" borderId="0" xfId="0" applyFont="1" applyFill="1" applyAlignment="1">
      <alignment vertical="top" wrapText="1"/>
    </xf>
    <xf numFmtId="0" fontId="17" fillId="4" borderId="0" xfId="0" applyFont="1" applyFill="1" applyAlignment="1">
      <alignment horizontal="left" vertical="top" wrapText="1"/>
    </xf>
    <xf numFmtId="0" fontId="13" fillId="4" borderId="0" xfId="0" applyFont="1" applyFill="1" applyAlignment="1">
      <alignment vertical="top" wrapText="1"/>
    </xf>
    <xf numFmtId="0" fontId="15" fillId="4" borderId="0" xfId="0" applyFont="1" applyFill="1" applyAlignment="1">
      <alignment vertical="top" wrapText="1"/>
    </xf>
    <xf numFmtId="165" fontId="4" fillId="4" borderId="0" xfId="0" applyNumberFormat="1" applyFont="1" applyFill="1" applyAlignment="1">
      <alignment vertical="top" wrapText="1"/>
    </xf>
    <xf numFmtId="166" fontId="4" fillId="4" borderId="0" xfId="0" applyNumberFormat="1" applyFont="1" applyFill="1" applyAlignment="1">
      <alignment vertical="top" wrapText="1"/>
    </xf>
    <xf numFmtId="0" fontId="13" fillId="0" borderId="4" xfId="0" applyFont="1" applyBorder="1" applyAlignment="1">
      <alignment vertical="top" wrapText="1"/>
    </xf>
    <xf numFmtId="0" fontId="11" fillId="5" borderId="1" xfId="0" applyFont="1" applyFill="1" applyBorder="1" applyAlignment="1">
      <alignment vertical="top" wrapText="1"/>
    </xf>
    <xf numFmtId="0" fontId="4" fillId="0" borderId="4" xfId="0" applyFont="1" applyBorder="1" applyAlignment="1">
      <alignment vertical="top" wrapText="1"/>
    </xf>
    <xf numFmtId="0" fontId="11" fillId="6" borderId="1" xfId="0" applyFont="1" applyFill="1" applyBorder="1" applyAlignment="1">
      <alignment vertical="top" wrapText="1"/>
    </xf>
    <xf numFmtId="0" fontId="13" fillId="0" borderId="0" xfId="0" applyFont="1" applyAlignment="1">
      <alignment horizontal="center" vertical="top" wrapText="1"/>
    </xf>
    <xf numFmtId="0" fontId="17" fillId="0" borderId="0" xfId="0" applyFont="1" applyAlignment="1">
      <alignment horizontal="left" vertical="top"/>
    </xf>
    <xf numFmtId="0" fontId="12" fillId="0" borderId="0" xfId="0" applyFont="1" applyAlignment="1">
      <alignment vertical="top"/>
    </xf>
    <xf numFmtId="0" fontId="6" fillId="0" borderId="0" xfId="0" applyFont="1" applyAlignment="1">
      <alignment horizontal="left" vertical="top"/>
    </xf>
    <xf numFmtId="0" fontId="13" fillId="4" borderId="0" xfId="0" applyFont="1" applyFill="1" applyAlignment="1">
      <alignment vertical="top"/>
    </xf>
    <xf numFmtId="165" fontId="4" fillId="4" borderId="0" xfId="0" applyNumberFormat="1" applyFont="1" applyFill="1" applyAlignment="1">
      <alignment vertical="top"/>
    </xf>
    <xf numFmtId="167" fontId="13" fillId="4" borderId="0" xfId="0" applyNumberFormat="1" applyFont="1" applyFill="1" applyAlignment="1">
      <alignment vertical="top"/>
    </xf>
    <xf numFmtId="0" fontId="8" fillId="0" borderId="0" xfId="0" applyFont="1" applyAlignment="1">
      <alignment vertical="top"/>
    </xf>
    <xf numFmtId="167" fontId="12" fillId="0" borderId="0" xfId="0" applyNumberFormat="1" applyFont="1" applyAlignment="1">
      <alignment vertical="top" wrapText="1"/>
    </xf>
    <xf numFmtId="0" fontId="12" fillId="0" borderId="0" xfId="0" quotePrefix="1" applyFont="1" applyAlignment="1">
      <alignment vertical="top"/>
    </xf>
    <xf numFmtId="0" fontId="17" fillId="0" borderId="0" xfId="0" quotePrefix="1" applyFont="1" applyAlignment="1">
      <alignment vertical="top" wrapText="1"/>
    </xf>
    <xf numFmtId="2" fontId="12" fillId="0" borderId="0" xfId="0" applyNumberFormat="1" applyFont="1" applyAlignment="1">
      <alignment vertical="top" wrapText="1"/>
    </xf>
    <xf numFmtId="165" fontId="12" fillId="0" borderId="0" xfId="0" applyNumberFormat="1" applyFont="1" applyAlignment="1">
      <alignment vertical="top" wrapText="1"/>
    </xf>
    <xf numFmtId="165" fontId="12" fillId="0" borderId="0" xfId="0" quotePrefix="1" applyNumberFormat="1" applyFont="1" applyAlignment="1">
      <alignment vertical="top" wrapText="1"/>
    </xf>
    <xf numFmtId="0" fontId="12" fillId="0" borderId="0" xfId="2" applyFont="1" applyAlignment="1">
      <alignment vertical="top" wrapText="1"/>
    </xf>
    <xf numFmtId="0" fontId="12" fillId="0" borderId="0" xfId="2" quotePrefix="1" applyFont="1" applyAlignment="1">
      <alignment vertical="top" wrapText="1"/>
    </xf>
    <xf numFmtId="0" fontId="17" fillId="0" borderId="0" xfId="2" quotePrefix="1" applyFont="1" applyAlignment="1">
      <alignment vertical="top" wrapText="1"/>
    </xf>
    <xf numFmtId="2" fontId="12" fillId="0" borderId="0" xfId="2" applyNumberFormat="1" applyFont="1" applyAlignment="1">
      <alignment vertical="top" wrapText="1"/>
    </xf>
    <xf numFmtId="165" fontId="12" fillId="0" borderId="0" xfId="2" applyNumberFormat="1" applyFont="1" applyAlignment="1">
      <alignment vertical="top" wrapText="1"/>
    </xf>
    <xf numFmtId="165" fontId="12" fillId="0" borderId="0" xfId="2" quotePrefix="1" applyNumberFormat="1" applyFont="1" applyAlignment="1">
      <alignment vertical="top" wrapText="1"/>
    </xf>
    <xf numFmtId="1" fontId="12" fillId="0" borderId="0" xfId="2" applyNumberFormat="1" applyFont="1" applyAlignment="1">
      <alignment vertical="top" wrapText="1"/>
    </xf>
    <xf numFmtId="0" fontId="17" fillId="7" borderId="0" xfId="0" applyFont="1" applyFill="1" applyAlignment="1">
      <alignment horizontal="left" vertical="top"/>
    </xf>
    <xf numFmtId="0" fontId="12" fillId="7" borderId="0" xfId="0" applyFont="1" applyFill="1" applyAlignment="1">
      <alignment vertical="top" wrapText="1"/>
    </xf>
    <xf numFmtId="0" fontId="17" fillId="7" borderId="0" xfId="0" applyFont="1" applyFill="1" applyAlignment="1">
      <alignment vertical="top"/>
    </xf>
    <xf numFmtId="167" fontId="12" fillId="7" borderId="0" xfId="0" applyNumberFormat="1" applyFont="1" applyFill="1" applyAlignment="1">
      <alignment vertical="top"/>
    </xf>
    <xf numFmtId="0" fontId="12" fillId="7" borderId="0" xfId="0" applyFont="1" applyFill="1" applyAlignment="1">
      <alignment vertical="top"/>
    </xf>
    <xf numFmtId="0" fontId="17" fillId="7" borderId="0" xfId="0" applyFont="1" applyFill="1" applyAlignment="1">
      <alignment horizontal="left" vertical="top" wrapText="1"/>
    </xf>
    <xf numFmtId="0" fontId="12" fillId="7" borderId="0" xfId="0" applyFont="1" applyFill="1" applyAlignment="1">
      <alignment horizontal="center" vertical="top" wrapText="1"/>
    </xf>
    <xf numFmtId="167" fontId="12" fillId="7" borderId="0" xfId="0" applyNumberFormat="1" applyFont="1" applyFill="1" applyAlignment="1">
      <alignment vertical="top" wrapText="1"/>
    </xf>
    <xf numFmtId="0" fontId="2" fillId="0" borderId="0" xfId="0" applyFont="1" applyAlignment="1">
      <alignment vertical="top"/>
    </xf>
    <xf numFmtId="1" fontId="12" fillId="0" borderId="0" xfId="2" applyNumberFormat="1" applyFont="1" applyAlignment="1">
      <alignment vertical="top"/>
    </xf>
    <xf numFmtId="1" fontId="12" fillId="0" borderId="0" xfId="0" applyNumberFormat="1" applyFont="1" applyAlignment="1">
      <alignment vertical="top"/>
    </xf>
    <xf numFmtId="1" fontId="8" fillId="0" borderId="0" xfId="0" applyNumberFormat="1" applyFont="1" applyAlignment="1">
      <alignment vertical="top"/>
    </xf>
    <xf numFmtId="1" fontId="10" fillId="0" borderId="0" xfId="0" applyNumberFormat="1" applyFont="1" applyAlignment="1">
      <alignment vertical="top"/>
    </xf>
    <xf numFmtId="0" fontId="11" fillId="2" borderId="1" xfId="0" applyFont="1" applyFill="1" applyBorder="1" applyAlignment="1">
      <alignment vertical="top"/>
    </xf>
    <xf numFmtId="0" fontId="11" fillId="3" borderId="3" xfId="0" applyFont="1" applyFill="1" applyBorder="1" applyAlignment="1">
      <alignment vertical="top"/>
    </xf>
    <xf numFmtId="0" fontId="11" fillId="3" borderId="1" xfId="0" applyFont="1" applyFill="1" applyBorder="1" applyAlignment="1">
      <alignment vertical="top"/>
    </xf>
    <xf numFmtId="0" fontId="13" fillId="3" borderId="2" xfId="0" applyFont="1" applyFill="1" applyBorder="1" applyAlignment="1">
      <alignment vertical="top"/>
    </xf>
    <xf numFmtId="0" fontId="13" fillId="3" borderId="3" xfId="0" applyFont="1" applyFill="1" applyBorder="1" applyAlignment="1">
      <alignment vertical="top"/>
    </xf>
    <xf numFmtId="0" fontId="13" fillId="3" borderId="1" xfId="0" applyFont="1" applyFill="1" applyBorder="1" applyAlignment="1">
      <alignment vertical="top"/>
    </xf>
    <xf numFmtId="0" fontId="13" fillId="3" borderId="5" xfId="0" applyFont="1" applyFill="1" applyBorder="1" applyAlignment="1">
      <alignment vertical="top"/>
    </xf>
    <xf numFmtId="0" fontId="13" fillId="3" borderId="6" xfId="0" applyFont="1" applyFill="1" applyBorder="1" applyAlignment="1">
      <alignment vertical="top"/>
    </xf>
    <xf numFmtId="0" fontId="4" fillId="3" borderId="3" xfId="0" applyFont="1" applyFill="1" applyBorder="1" applyAlignment="1">
      <alignment vertical="top"/>
    </xf>
    <xf numFmtId="0" fontId="13" fillId="3" borderId="7" xfId="0" applyFont="1" applyFill="1" applyBorder="1" applyAlignment="1">
      <alignment vertical="top"/>
    </xf>
    <xf numFmtId="0" fontId="13" fillId="3" borderId="8" xfId="0" applyFont="1" applyFill="1" applyBorder="1" applyAlignment="1">
      <alignment vertical="top"/>
    </xf>
    <xf numFmtId="0" fontId="17" fillId="8" borderId="0" xfId="0" applyFont="1" applyFill="1" applyAlignment="1">
      <alignment horizontal="left" vertical="top"/>
    </xf>
    <xf numFmtId="0" fontId="12" fillId="8" borderId="0" xfId="0" applyFont="1" applyFill="1" applyAlignment="1">
      <alignment vertical="top"/>
    </xf>
    <xf numFmtId="167" fontId="12" fillId="8" borderId="0" xfId="0" applyNumberFormat="1" applyFont="1" applyFill="1" applyAlignment="1">
      <alignment vertical="top"/>
    </xf>
    <xf numFmtId="0" fontId="13" fillId="8" borderId="0" xfId="0" applyFont="1" applyFill="1" applyAlignment="1">
      <alignment vertical="top"/>
    </xf>
    <xf numFmtId="0" fontId="17" fillId="8" borderId="0" xfId="0" applyFont="1" applyFill="1" applyAlignment="1">
      <alignment horizontal="left" vertical="top" wrapText="1"/>
    </xf>
    <xf numFmtId="0" fontId="11" fillId="8" borderId="0" xfId="0" applyFont="1" applyFill="1" applyAlignment="1">
      <alignment vertical="top"/>
    </xf>
    <xf numFmtId="0" fontId="13" fillId="8" borderId="0" xfId="0" applyFont="1" applyFill="1" applyAlignment="1">
      <alignment vertical="top" wrapText="1"/>
    </xf>
    <xf numFmtId="165" fontId="4" fillId="0" borderId="3" xfId="0" applyNumberFormat="1" applyFont="1" applyBorder="1" applyAlignment="1">
      <alignment vertical="top" wrapText="1"/>
    </xf>
    <xf numFmtId="0" fontId="4" fillId="8" borderId="0" xfId="0" applyFont="1" applyFill="1" applyAlignment="1">
      <alignment vertical="top" wrapText="1"/>
    </xf>
    <xf numFmtId="166" fontId="13" fillId="8" borderId="0" xfId="0" applyNumberFormat="1" applyFont="1" applyFill="1" applyAlignment="1">
      <alignment vertical="top" wrapText="1"/>
    </xf>
    <xf numFmtId="2" fontId="13" fillId="8" borderId="0" xfId="0" applyNumberFormat="1" applyFont="1" applyFill="1" applyAlignment="1">
      <alignment vertical="top" wrapText="1"/>
    </xf>
    <xf numFmtId="166" fontId="4" fillId="8" borderId="0" xfId="0" applyNumberFormat="1" applyFont="1" applyFill="1" applyAlignment="1">
      <alignment vertical="top" wrapText="1"/>
    </xf>
    <xf numFmtId="0" fontId="4" fillId="8" borderId="0" xfId="0" applyFont="1" applyFill="1" applyAlignment="1">
      <alignment vertical="top"/>
    </xf>
    <xf numFmtId="165" fontId="13" fillId="8" borderId="0" xfId="0" applyNumberFormat="1" applyFont="1" applyFill="1" applyAlignment="1">
      <alignment vertical="top" wrapText="1"/>
    </xf>
    <xf numFmtId="0" fontId="11" fillId="8" borderId="0" xfId="0" applyFont="1" applyFill="1" applyAlignment="1">
      <alignment vertical="top" wrapText="1"/>
    </xf>
    <xf numFmtId="0" fontId="12" fillId="8" borderId="0" xfId="2" applyFont="1" applyFill="1" applyAlignment="1">
      <alignment vertical="top"/>
    </xf>
    <xf numFmtId="1" fontId="10" fillId="8" borderId="0" xfId="0" applyNumberFormat="1" applyFont="1" applyFill="1" applyAlignment="1">
      <alignment vertical="top"/>
    </xf>
    <xf numFmtId="0" fontId="8" fillId="8" borderId="0" xfId="0" applyFont="1" applyFill="1" applyAlignment="1">
      <alignment vertical="top"/>
    </xf>
    <xf numFmtId="0" fontId="12" fillId="8" borderId="9" xfId="0" applyFont="1" applyFill="1" applyBorder="1" applyAlignment="1">
      <alignment vertical="top"/>
    </xf>
    <xf numFmtId="167" fontId="12" fillId="8" borderId="9" xfId="0" applyNumberFormat="1" applyFont="1" applyFill="1" applyBorder="1" applyAlignment="1">
      <alignment vertical="top"/>
    </xf>
    <xf numFmtId="0" fontId="12" fillId="8" borderId="9" xfId="0" applyFont="1" applyFill="1" applyBorder="1" applyAlignment="1">
      <alignment vertical="top" wrapText="1"/>
    </xf>
    <xf numFmtId="0" fontId="12" fillId="8" borderId="9" xfId="2" applyFont="1" applyFill="1" applyBorder="1" applyAlignment="1">
      <alignment vertical="top" wrapText="1"/>
    </xf>
    <xf numFmtId="0" fontId="17" fillId="7" borderId="0" xfId="0" applyFont="1" applyFill="1" applyAlignment="1">
      <alignment vertical="top" wrapText="1"/>
    </xf>
    <xf numFmtId="3" fontId="12" fillId="7" borderId="0" xfId="0" applyNumberFormat="1" applyFont="1" applyFill="1" applyAlignment="1">
      <alignment vertical="top" wrapText="1"/>
    </xf>
    <xf numFmtId="0" fontId="12" fillId="7" borderId="0" xfId="0" quotePrefix="1" applyFont="1" applyFill="1" applyAlignment="1">
      <alignment vertical="top" wrapText="1"/>
    </xf>
    <xf numFmtId="0" fontId="17" fillId="7" borderId="0" xfId="0" quotePrefix="1" applyFont="1" applyFill="1" applyAlignment="1">
      <alignment vertical="top" wrapText="1"/>
    </xf>
    <xf numFmtId="2" fontId="12" fillId="7" borderId="0" xfId="0" applyNumberFormat="1" applyFont="1" applyFill="1" applyAlignment="1">
      <alignment vertical="top" wrapText="1"/>
    </xf>
    <xf numFmtId="165" fontId="12" fillId="7" borderId="0" xfId="0" applyNumberFormat="1" applyFont="1" applyFill="1" applyAlignment="1">
      <alignment vertical="top" wrapText="1"/>
    </xf>
    <xf numFmtId="0" fontId="17" fillId="7" borderId="0" xfId="2" applyFont="1" applyFill="1" applyAlignment="1">
      <alignment vertical="top" wrapText="1"/>
    </xf>
    <xf numFmtId="0" fontId="12" fillId="7" borderId="0" xfId="2" applyFont="1" applyFill="1" applyAlignment="1">
      <alignment vertical="top" wrapText="1"/>
    </xf>
    <xf numFmtId="0" fontId="13" fillId="4" borderId="0" xfId="0" applyFont="1" applyFill="1" applyAlignment="1">
      <alignment horizontal="center" vertical="top"/>
    </xf>
    <xf numFmtId="0" fontId="10" fillId="4" borderId="0" xfId="2" applyFont="1" applyFill="1" applyAlignment="1">
      <alignment vertical="top"/>
    </xf>
    <xf numFmtId="0" fontId="2" fillId="4" borderId="9" xfId="0" applyFont="1" applyFill="1" applyBorder="1" applyAlignment="1">
      <alignment vertical="top" wrapText="1"/>
    </xf>
    <xf numFmtId="0" fontId="13" fillId="7" borderId="9" xfId="0" applyFont="1" applyFill="1" applyBorder="1" applyAlignment="1">
      <alignment vertical="top" wrapText="1"/>
    </xf>
    <xf numFmtId="0" fontId="10" fillId="7" borderId="9" xfId="2" applyFont="1" applyFill="1" applyBorder="1" applyAlignment="1">
      <alignment vertical="top" wrapText="1"/>
    </xf>
    <xf numFmtId="1" fontId="10" fillId="7" borderId="9" xfId="2" applyNumberFormat="1" applyFont="1" applyFill="1" applyBorder="1" applyAlignment="1">
      <alignment vertical="top" wrapText="1"/>
    </xf>
    <xf numFmtId="0" fontId="14" fillId="8" borderId="9" xfId="0" applyFont="1" applyFill="1" applyBorder="1" applyAlignment="1">
      <alignment horizontal="left" vertical="top"/>
    </xf>
    <xf numFmtId="0" fontId="17" fillId="0" borderId="0" xfId="0" quotePrefix="1" applyFont="1" applyAlignment="1">
      <alignment vertical="top"/>
    </xf>
    <xf numFmtId="2" fontId="12" fillId="0" borderId="0" xfId="0" applyNumberFormat="1" applyFont="1" applyAlignment="1">
      <alignment vertical="top"/>
    </xf>
    <xf numFmtId="165" fontId="12" fillId="0" borderId="0" xfId="0" quotePrefix="1" applyNumberFormat="1" applyFont="1" applyAlignment="1">
      <alignment vertical="top"/>
    </xf>
    <xf numFmtId="165" fontId="12" fillId="0" borderId="0" xfId="0" applyNumberFormat="1" applyFont="1" applyAlignment="1">
      <alignment vertical="top"/>
    </xf>
    <xf numFmtId="0" fontId="0" fillId="3" borderId="0" xfId="0" applyFill="1"/>
    <xf numFmtId="0" fontId="22" fillId="0" borderId="0" xfId="0" applyFont="1" applyAlignment="1">
      <alignment vertical="center"/>
    </xf>
    <xf numFmtId="0" fontId="23" fillId="0" borderId="0" xfId="0" applyFont="1" applyAlignment="1">
      <alignment vertical="center"/>
    </xf>
    <xf numFmtId="0" fontId="24" fillId="0" borderId="0" xfId="6" applyFont="1" applyAlignment="1" applyProtection="1">
      <alignment horizontal="left" vertical="center" indent="2"/>
    </xf>
    <xf numFmtId="0" fontId="21" fillId="3" borderId="0" xfId="6" applyFont="1" applyFill="1" applyBorder="1" applyAlignment="1" applyProtection="1">
      <alignment horizontal="left" vertical="center"/>
    </xf>
    <xf numFmtId="0" fontId="0" fillId="3" borderId="0" xfId="0" applyFill="1" applyAlignment="1">
      <alignment horizontal="left"/>
    </xf>
    <xf numFmtId="0" fontId="21" fillId="3" borderId="0" xfId="6" applyFont="1" applyFill="1" applyAlignment="1" applyProtection="1">
      <alignment horizontal="left" vertical="center" indent="2"/>
    </xf>
    <xf numFmtId="0" fontId="11" fillId="0" borderId="3" xfId="0" applyFont="1" applyBorder="1" applyAlignment="1">
      <alignment horizontal="left" vertical="top"/>
    </xf>
    <xf numFmtId="0" fontId="16" fillId="4" borderId="0" xfId="0" applyFont="1" applyFill="1" applyAlignment="1">
      <alignment horizontal="left" vertical="top" wrapText="1"/>
    </xf>
    <xf numFmtId="0" fontId="15" fillId="4" borderId="0" xfId="0" applyFont="1" applyFill="1" applyAlignment="1">
      <alignment horizontal="left" vertical="top" wrapText="1"/>
    </xf>
    <xf numFmtId="0" fontId="15" fillId="8" borderId="0" xfId="0" applyFont="1" applyFill="1" applyAlignment="1">
      <alignment horizontal="left" vertical="top"/>
    </xf>
    <xf numFmtId="0" fontId="15" fillId="8" borderId="0" xfId="0" applyFont="1" applyFill="1" applyAlignment="1">
      <alignment horizontal="left" vertical="top" wrapText="1"/>
    </xf>
    <xf numFmtId="0" fontId="15" fillId="8" borderId="0" xfId="0" applyFont="1" applyFill="1" applyAlignment="1">
      <alignment vertical="top"/>
    </xf>
    <xf numFmtId="0" fontId="15" fillId="8" borderId="0" xfId="0" applyFont="1" applyFill="1" applyAlignment="1">
      <alignment vertical="top" wrapText="1"/>
    </xf>
    <xf numFmtId="2" fontId="13" fillId="4" borderId="0" xfId="0" applyNumberFormat="1" applyFont="1" applyFill="1" applyAlignment="1">
      <alignment vertical="top"/>
    </xf>
    <xf numFmtId="2" fontId="13" fillId="0" borderId="3" xfId="0" applyNumberFormat="1" applyFont="1" applyBorder="1" applyAlignment="1">
      <alignment horizontal="left" vertical="top"/>
    </xf>
    <xf numFmtId="0" fontId="13" fillId="10" borderId="0" xfId="0" applyFont="1" applyFill="1"/>
    <xf numFmtId="0" fontId="13" fillId="0" borderId="0" xfId="0" applyFont="1"/>
    <xf numFmtId="0" fontId="13" fillId="11" borderId="0" xfId="0" applyFont="1" applyFill="1"/>
    <xf numFmtId="0" fontId="13" fillId="9" borderId="0" xfId="0" applyFont="1" applyFill="1"/>
    <xf numFmtId="3" fontId="4" fillId="3" borderId="3" xfId="0" applyNumberFormat="1" applyFont="1" applyFill="1" applyBorder="1" applyAlignment="1">
      <alignment vertical="top" wrapText="1"/>
    </xf>
    <xf numFmtId="3" fontId="13" fillId="3" borderId="3" xfId="0" applyNumberFormat="1" applyFont="1" applyFill="1" applyBorder="1" applyAlignment="1">
      <alignment vertical="top" wrapText="1"/>
    </xf>
    <xf numFmtId="0" fontId="26" fillId="4" borderId="0" xfId="0" applyFont="1" applyFill="1" applyAlignment="1">
      <alignment vertical="top"/>
    </xf>
    <xf numFmtId="167" fontId="25" fillId="4" borderId="0" xfId="0" applyNumberFormat="1" applyFont="1" applyFill="1" applyAlignment="1">
      <alignment vertical="top"/>
    </xf>
    <xf numFmtId="0" fontId="25" fillId="4" borderId="0" xfId="0" applyFont="1" applyFill="1" applyAlignment="1">
      <alignment vertical="top"/>
    </xf>
    <xf numFmtId="1" fontId="25" fillId="4" borderId="0" xfId="0" applyNumberFormat="1" applyFont="1" applyFill="1" applyAlignment="1">
      <alignment vertical="top"/>
    </xf>
    <xf numFmtId="0" fontId="25" fillId="4" borderId="0" xfId="0" applyFont="1" applyFill="1" applyAlignment="1">
      <alignment vertical="top" wrapText="1"/>
    </xf>
    <xf numFmtId="0" fontId="27" fillId="0" borderId="0" xfId="0" applyFont="1" applyAlignment="1">
      <alignment vertical="top"/>
    </xf>
    <xf numFmtId="2" fontId="13" fillId="0" borderId="3" xfId="0" applyNumberFormat="1" applyFont="1" applyBorder="1" applyAlignment="1">
      <alignment horizontal="center" vertical="top"/>
    </xf>
    <xf numFmtId="3" fontId="0" fillId="0" borderId="3" xfId="0" applyNumberFormat="1" applyBorder="1" applyAlignment="1">
      <alignment vertical="top" wrapText="1"/>
    </xf>
    <xf numFmtId="0" fontId="13" fillId="12" borderId="0" xfId="0" applyFont="1" applyFill="1"/>
    <xf numFmtId="0" fontId="20" fillId="3" borderId="0" xfId="0" applyFont="1" applyFill="1" applyAlignment="1">
      <alignment horizontal="left" vertical="center"/>
    </xf>
    <xf numFmtId="167" fontId="28" fillId="7" borderId="0" xfId="0" applyNumberFormat="1" applyFont="1" applyFill="1" applyAlignment="1">
      <alignment vertical="top" wrapText="1"/>
    </xf>
    <xf numFmtId="0" fontId="28" fillId="0" borderId="0" xfId="0" applyFont="1" applyAlignment="1">
      <alignment vertical="top" wrapText="1"/>
    </xf>
    <xf numFmtId="167" fontId="13" fillId="4" borderId="0" xfId="0" applyNumberFormat="1" applyFont="1" applyFill="1" applyAlignment="1">
      <alignment horizontal="center" vertical="top"/>
    </xf>
    <xf numFmtId="167" fontId="10" fillId="4" borderId="0" xfId="2" applyNumberFormat="1" applyFont="1" applyFill="1" applyAlignment="1">
      <alignment vertical="top"/>
    </xf>
    <xf numFmtId="0" fontId="28" fillId="8" borderId="0" xfId="0" applyFont="1" applyFill="1" applyAlignment="1">
      <alignment vertical="top"/>
    </xf>
    <xf numFmtId="0" fontId="28" fillId="3" borderId="3" xfId="0" applyFont="1" applyFill="1" applyBorder="1" applyAlignment="1">
      <alignment vertical="top"/>
    </xf>
    <xf numFmtId="0" fontId="28" fillId="4" borderId="0" xfId="0" applyFont="1" applyFill="1" applyAlignment="1">
      <alignment vertical="top"/>
    </xf>
    <xf numFmtId="167" fontId="28" fillId="4" borderId="0" xfId="0" applyNumberFormat="1" applyFont="1" applyFill="1" applyAlignment="1">
      <alignment vertical="top"/>
    </xf>
    <xf numFmtId="1" fontId="0" fillId="3" borderId="3" xfId="0" applyNumberFormat="1" applyFill="1" applyBorder="1" applyAlignment="1">
      <alignment vertical="top" wrapText="1"/>
    </xf>
    <xf numFmtId="0" fontId="5" fillId="10" borderId="4" xfId="0" applyFont="1" applyFill="1" applyBorder="1" applyAlignment="1">
      <alignment vertical="top"/>
    </xf>
    <xf numFmtId="1" fontId="18" fillId="10" borderId="4" xfId="0" applyNumberFormat="1" applyFont="1" applyFill="1" applyBorder="1" applyAlignment="1">
      <alignment vertical="top" wrapText="1"/>
    </xf>
    <xf numFmtId="0" fontId="5" fillId="10" borderId="3" xfId="0" applyFont="1" applyFill="1" applyBorder="1" applyAlignment="1">
      <alignment vertical="top" wrapText="1"/>
    </xf>
    <xf numFmtId="0" fontId="4" fillId="13" borderId="0" xfId="0" applyFont="1" applyFill="1"/>
    <xf numFmtId="0" fontId="4" fillId="0" borderId="0" xfId="0" applyFont="1"/>
    <xf numFmtId="165" fontId="0" fillId="0" borderId="0" xfId="0" applyNumberFormat="1"/>
    <xf numFmtId="165" fontId="0" fillId="13" borderId="0" xfId="0" applyNumberFormat="1" applyFill="1"/>
    <xf numFmtId="0" fontId="30" fillId="0" borderId="0" xfId="0" applyFont="1"/>
    <xf numFmtId="165" fontId="31" fillId="0" borderId="0" xfId="0" applyNumberFormat="1" applyFont="1"/>
    <xf numFmtId="0" fontId="31" fillId="0" borderId="0" xfId="0" applyFont="1"/>
    <xf numFmtId="3" fontId="13" fillId="0" borderId="3" xfId="0" applyNumberFormat="1" applyFont="1" applyBorder="1" applyAlignment="1">
      <alignment vertical="top" wrapText="1"/>
    </xf>
    <xf numFmtId="0" fontId="13" fillId="7" borderId="0" xfId="0" applyFont="1" applyFill="1" applyAlignment="1">
      <alignment vertical="top"/>
    </xf>
    <xf numFmtId="0" fontId="13" fillId="0" borderId="1" xfId="0" quotePrefix="1" applyFont="1" applyBorder="1" applyAlignment="1">
      <alignment vertical="top"/>
    </xf>
    <xf numFmtId="0" fontId="12" fillId="0" borderId="3" xfId="0" applyFont="1" applyBorder="1" applyAlignment="1">
      <alignment horizontal="left" vertical="top"/>
    </xf>
    <xf numFmtId="0" fontId="12" fillId="2" borderId="3" xfId="0" applyFont="1" applyFill="1" applyBorder="1" applyAlignment="1">
      <alignment vertical="top" wrapText="1"/>
    </xf>
    <xf numFmtId="0" fontId="12" fillId="6" borderId="2" xfId="0" applyFont="1" applyFill="1" applyBorder="1" applyAlignment="1">
      <alignment horizontal="center" vertical="top" wrapText="1"/>
    </xf>
    <xf numFmtId="2" fontId="12" fillId="5" borderId="2" xfId="0" applyNumberFormat="1" applyFont="1" applyFill="1" applyBorder="1" applyAlignment="1">
      <alignment horizontal="center" vertical="top" wrapText="1"/>
    </xf>
    <xf numFmtId="0" fontId="32" fillId="7" borderId="0" xfId="0" applyFont="1" applyFill="1" applyAlignment="1">
      <alignment vertical="top" wrapText="1"/>
    </xf>
    <xf numFmtId="0" fontId="33" fillId="7" borderId="0" xfId="0" applyFont="1" applyFill="1" applyAlignment="1">
      <alignment vertical="top" wrapText="1"/>
    </xf>
    <xf numFmtId="3" fontId="11" fillId="10" borderId="3" xfId="0" applyNumberFormat="1" applyFont="1" applyFill="1" applyBorder="1" applyAlignment="1">
      <alignment vertical="top" wrapText="1"/>
    </xf>
    <xf numFmtId="0" fontId="11" fillId="0" borderId="0" xfId="0" applyFont="1"/>
    <xf numFmtId="0" fontId="11" fillId="3" borderId="0" xfId="0" applyFont="1" applyFill="1"/>
    <xf numFmtId="0" fontId="13" fillId="3" borderId="0" xfId="0" applyFont="1" applyFill="1" applyAlignment="1">
      <alignment horizontal="left" vertical="center"/>
    </xf>
    <xf numFmtId="166" fontId="4" fillId="3" borderId="3" xfId="0" applyNumberFormat="1" applyFont="1" applyFill="1" applyBorder="1" applyAlignment="1">
      <alignment vertical="top" wrapText="1"/>
    </xf>
    <xf numFmtId="0" fontId="11" fillId="4" borderId="0" xfId="0" applyFont="1" applyFill="1" applyAlignment="1">
      <alignment vertical="top"/>
    </xf>
    <xf numFmtId="0" fontId="5" fillId="0" borderId="1" xfId="0" applyFont="1" applyBorder="1" applyAlignment="1">
      <alignment vertical="top" wrapText="1"/>
    </xf>
    <xf numFmtId="0" fontId="13" fillId="0" borderId="2" xfId="0" applyFont="1" applyBorder="1" applyAlignment="1">
      <alignment vertical="top" wrapText="1"/>
    </xf>
    <xf numFmtId="0" fontId="5" fillId="2" borderId="5" xfId="0" applyFont="1" applyFill="1" applyBorder="1" applyAlignment="1">
      <alignment vertical="top" wrapText="1"/>
    </xf>
    <xf numFmtId="0" fontId="13" fillId="2" borderId="6" xfId="0" applyFont="1" applyFill="1" applyBorder="1" applyAlignment="1">
      <alignment vertical="top" wrapText="1"/>
    </xf>
    <xf numFmtId="0" fontId="13" fillId="3" borderId="10" xfId="0" applyFont="1" applyFill="1" applyBorder="1" applyAlignment="1">
      <alignment vertical="top" wrapText="1"/>
    </xf>
    <xf numFmtId="0" fontId="5" fillId="3" borderId="1" xfId="0" applyFont="1" applyFill="1" applyBorder="1" applyAlignment="1">
      <alignment vertical="top" wrapText="1"/>
    </xf>
    <xf numFmtId="3" fontId="13" fillId="8" borderId="3" xfId="0" applyNumberFormat="1" applyFont="1" applyFill="1" applyBorder="1" applyAlignment="1">
      <alignment horizontal="right" vertical="top" wrapText="1"/>
    </xf>
    <xf numFmtId="168" fontId="13" fillId="8" borderId="3" xfId="0" applyNumberFormat="1" applyFont="1" applyFill="1" applyBorder="1" applyAlignment="1">
      <alignment horizontal="right" vertical="top" wrapText="1"/>
    </xf>
    <xf numFmtId="0" fontId="13" fillId="3" borderId="1" xfId="0" quotePrefix="1" applyFont="1" applyFill="1" applyBorder="1" applyAlignment="1">
      <alignment vertical="top"/>
    </xf>
    <xf numFmtId="2" fontId="28" fillId="4" borderId="0" xfId="0" applyNumberFormat="1" applyFont="1" applyFill="1" applyAlignment="1">
      <alignment horizontal="left" vertical="top"/>
    </xf>
    <xf numFmtId="3" fontId="26" fillId="4" borderId="0" xfId="0" applyNumberFormat="1" applyFont="1" applyFill="1" applyAlignment="1">
      <alignment vertical="top"/>
    </xf>
    <xf numFmtId="0" fontId="36" fillId="4" borderId="0" xfId="0" applyFont="1" applyFill="1" applyAlignment="1">
      <alignment horizontal="right" vertical="top"/>
    </xf>
    <xf numFmtId="3" fontId="36" fillId="4" borderId="0" xfId="0" applyNumberFormat="1" applyFont="1" applyFill="1" applyAlignment="1">
      <alignment horizontal="right" vertical="top"/>
    </xf>
    <xf numFmtId="0" fontId="28" fillId="4" borderId="0" xfId="0" applyFont="1" applyFill="1" applyAlignment="1">
      <alignment horizontal="right" vertical="top"/>
    </xf>
    <xf numFmtId="165" fontId="28" fillId="4" borderId="0" xfId="0" applyNumberFormat="1" applyFont="1" applyFill="1" applyAlignment="1">
      <alignment horizontal="right" vertical="top"/>
    </xf>
    <xf numFmtId="165" fontId="28" fillId="4" borderId="0" xfId="0" applyNumberFormat="1" applyFont="1" applyFill="1" applyAlignment="1">
      <alignment vertical="top"/>
    </xf>
    <xf numFmtId="167" fontId="35" fillId="4" borderId="0" xfId="0" applyNumberFormat="1" applyFont="1" applyFill="1" applyAlignment="1">
      <alignment horizontal="right" vertical="top"/>
    </xf>
    <xf numFmtId="165" fontId="35" fillId="4" borderId="0" xfId="0" applyNumberFormat="1" applyFont="1" applyFill="1" applyAlignment="1">
      <alignment vertical="top"/>
    </xf>
    <xf numFmtId="165" fontId="34" fillId="4" borderId="0" xfId="0" applyNumberFormat="1" applyFont="1" applyFill="1" applyAlignment="1">
      <alignment vertical="top" wrapText="1"/>
    </xf>
    <xf numFmtId="0" fontId="0" fillId="14" borderId="0" xfId="0" applyFill="1"/>
    <xf numFmtId="0" fontId="4" fillId="12" borderId="0" xfId="0" applyFont="1" applyFill="1"/>
    <xf numFmtId="0" fontId="4" fillId="6" borderId="0" xfId="0" applyFont="1" applyFill="1"/>
    <xf numFmtId="165" fontId="0" fillId="9" borderId="0" xfId="0" applyNumberFormat="1" applyFill="1"/>
    <xf numFmtId="0" fontId="4" fillId="9" borderId="0" xfId="0" applyFont="1" applyFill="1"/>
    <xf numFmtId="0" fontId="16" fillId="3" borderId="1" xfId="0" applyFont="1" applyFill="1" applyBorder="1" applyAlignment="1">
      <alignment vertical="top"/>
    </xf>
    <xf numFmtId="0" fontId="37" fillId="3" borderId="2" xfId="0" applyFont="1" applyFill="1" applyBorder="1" applyAlignment="1">
      <alignment vertical="top" wrapText="1"/>
    </xf>
    <xf numFmtId="0" fontId="28" fillId="3" borderId="4" xfId="0" applyFont="1" applyFill="1" applyBorder="1" applyAlignment="1">
      <alignment horizontal="left" vertical="top" indent="1"/>
    </xf>
    <xf numFmtId="0" fontId="13" fillId="3" borderId="4" xfId="0" applyFont="1" applyFill="1" applyBorder="1" applyAlignment="1">
      <alignment horizontal="left" vertical="top" wrapText="1" indent="1"/>
    </xf>
    <xf numFmtId="0" fontId="4" fillId="3" borderId="3" xfId="0" applyFont="1" applyFill="1" applyBorder="1" applyAlignment="1">
      <alignment horizontal="left" vertical="top" wrapText="1" indent="1"/>
    </xf>
    <xf numFmtId="165" fontId="0" fillId="0" borderId="3" xfId="0" applyNumberFormat="1" applyBorder="1" applyAlignment="1">
      <alignment vertical="top" wrapText="1"/>
    </xf>
    <xf numFmtId="165" fontId="18" fillId="15" borderId="3" xfId="0" applyNumberFormat="1" applyFont="1" applyFill="1" applyBorder="1" applyAlignment="1">
      <alignment vertical="top" wrapText="1"/>
    </xf>
    <xf numFmtId="0" fontId="28" fillId="0" borderId="0" xfId="0" applyFont="1" applyAlignment="1">
      <alignment vertical="top"/>
    </xf>
    <xf numFmtId="0" fontId="0" fillId="16" borderId="0" xfId="0" applyFill="1"/>
    <xf numFmtId="0" fontId="12" fillId="0" borderId="2" xfId="0" applyFont="1" applyBorder="1" applyAlignment="1">
      <alignment vertical="top"/>
    </xf>
    <xf numFmtId="0" fontId="14" fillId="0" borderId="1" xfId="0" applyFont="1" applyBorder="1" applyAlignment="1">
      <alignment vertical="top" wrapText="1"/>
    </xf>
    <xf numFmtId="169" fontId="13" fillId="3" borderId="3" xfId="0" applyNumberFormat="1" applyFont="1" applyFill="1" applyBorder="1" applyAlignment="1">
      <alignment vertical="top" wrapText="1"/>
    </xf>
    <xf numFmtId="169" fontId="11" fillId="10" borderId="3" xfId="0" applyNumberFormat="1" applyFont="1" applyFill="1" applyBorder="1" applyAlignment="1">
      <alignment vertical="top" wrapText="1"/>
    </xf>
    <xf numFmtId="2" fontId="0" fillId="0" borderId="0" xfId="0" applyNumberFormat="1"/>
    <xf numFmtId="49" fontId="0" fillId="3" borderId="0" xfId="0" applyNumberFormat="1" applyFill="1"/>
    <xf numFmtId="49" fontId="0" fillId="0" borderId="0" xfId="0" applyNumberFormat="1"/>
    <xf numFmtId="0" fontId="11" fillId="4" borderId="0" xfId="0" applyFont="1" applyFill="1" applyAlignment="1">
      <alignment horizontal="left" vertical="top" wrapText="1"/>
    </xf>
    <xf numFmtId="1" fontId="40" fillId="0" borderId="0" xfId="2" applyNumberFormat="1" applyFont="1" applyAlignment="1">
      <alignment vertical="top" wrapText="1"/>
    </xf>
    <xf numFmtId="0" fontId="6" fillId="0" borderId="0" xfId="0" applyFont="1" applyAlignment="1">
      <alignment vertical="top"/>
    </xf>
    <xf numFmtId="3" fontId="13" fillId="17" borderId="3" xfId="0" applyNumberFormat="1" applyFont="1" applyFill="1" applyBorder="1" applyAlignment="1">
      <alignment horizontal="right" vertical="top" wrapText="1"/>
    </xf>
    <xf numFmtId="3" fontId="0" fillId="18" borderId="3" xfId="0" applyNumberFormat="1" applyFill="1" applyBorder="1" applyAlignment="1">
      <alignment vertical="top" wrapText="1"/>
    </xf>
    <xf numFmtId="3" fontId="13" fillId="18" borderId="3" xfId="0" applyNumberFormat="1" applyFont="1" applyFill="1" applyBorder="1" applyAlignment="1">
      <alignment horizontal="right" vertical="top" wrapText="1"/>
    </xf>
    <xf numFmtId="168" fontId="13" fillId="18" borderId="3" xfId="0" applyNumberFormat="1" applyFont="1" applyFill="1" applyBorder="1" applyAlignment="1">
      <alignment horizontal="right" vertical="top" wrapText="1"/>
    </xf>
    <xf numFmtId="170" fontId="13" fillId="8" borderId="0" xfId="0" applyNumberFormat="1" applyFont="1" applyFill="1" applyAlignment="1">
      <alignment vertical="top"/>
    </xf>
    <xf numFmtId="171" fontId="4" fillId="3" borderId="3" xfId="0" applyNumberFormat="1" applyFont="1" applyFill="1" applyBorder="1" applyAlignment="1">
      <alignment vertical="top" wrapText="1"/>
    </xf>
    <xf numFmtId="171" fontId="28" fillId="3" borderId="3" xfId="0" applyNumberFormat="1" applyFont="1" applyFill="1" applyBorder="1" applyAlignment="1">
      <alignment vertical="top"/>
    </xf>
    <xf numFmtId="171" fontId="29" fillId="3" borderId="3" xfId="0" applyNumberFormat="1" applyFont="1" applyFill="1" applyBorder="1" applyAlignment="1">
      <alignment vertical="top" wrapText="1"/>
    </xf>
    <xf numFmtId="171" fontId="4" fillId="4" borderId="0" xfId="0" applyNumberFormat="1" applyFont="1" applyFill="1" applyAlignment="1">
      <alignment vertical="top" wrapText="1"/>
    </xf>
    <xf numFmtId="171" fontId="4" fillId="3" borderId="2" xfId="0" applyNumberFormat="1" applyFont="1" applyFill="1" applyBorder="1" applyAlignment="1">
      <alignment vertical="top" wrapText="1"/>
    </xf>
    <xf numFmtId="171" fontId="13" fillId="3" borderId="11" xfId="0" applyNumberFormat="1" applyFont="1" applyFill="1" applyBorder="1" applyAlignment="1">
      <alignment vertical="top" wrapText="1"/>
    </xf>
    <xf numFmtId="171" fontId="28" fillId="3" borderId="3" xfId="0" applyNumberFormat="1" applyFont="1" applyFill="1" applyBorder="1" applyAlignment="1">
      <alignment vertical="top" wrapText="1"/>
    </xf>
    <xf numFmtId="171" fontId="13" fillId="4" borderId="0" xfId="0" applyNumberFormat="1" applyFont="1" applyFill="1" applyAlignment="1">
      <alignment vertical="top" wrapText="1"/>
    </xf>
    <xf numFmtId="171" fontId="13" fillId="5" borderId="2" xfId="0" applyNumberFormat="1" applyFont="1" applyFill="1" applyBorder="1" applyAlignment="1">
      <alignment vertical="top" wrapText="1"/>
    </xf>
    <xf numFmtId="171" fontId="13" fillId="0" borderId="4" xfId="0" applyNumberFormat="1" applyFont="1" applyBorder="1" applyAlignment="1">
      <alignment vertical="top" wrapText="1"/>
    </xf>
    <xf numFmtId="171" fontId="13" fillId="6" borderId="2" xfId="0" applyNumberFormat="1" applyFont="1" applyFill="1" applyBorder="1" applyAlignment="1">
      <alignment vertical="top" wrapText="1"/>
    </xf>
    <xf numFmtId="171" fontId="29" fillId="4" borderId="0" xfId="0" applyNumberFormat="1" applyFont="1" applyFill="1" applyAlignment="1">
      <alignment vertical="top" wrapText="1"/>
    </xf>
    <xf numFmtId="172" fontId="13" fillId="3" borderId="3" xfId="0" applyNumberFormat="1" applyFont="1" applyFill="1" applyBorder="1" applyAlignment="1">
      <alignment vertical="top" wrapText="1"/>
    </xf>
    <xf numFmtId="173" fontId="13" fillId="3" borderId="3" xfId="0" applyNumberFormat="1" applyFont="1" applyFill="1" applyBorder="1" applyAlignment="1">
      <alignment vertical="top" wrapText="1"/>
    </xf>
    <xf numFmtId="174" fontId="13" fillId="3" borderId="3" xfId="0" applyNumberFormat="1" applyFont="1" applyFill="1" applyBorder="1" applyAlignment="1">
      <alignment vertical="top" wrapText="1"/>
    </xf>
    <xf numFmtId="174" fontId="4" fillId="4" borderId="0" xfId="0" applyNumberFormat="1" applyFont="1" applyFill="1" applyAlignment="1">
      <alignment vertical="top" wrapText="1"/>
    </xf>
    <xf numFmtId="174" fontId="4" fillId="3" borderId="2" xfId="0" applyNumberFormat="1" applyFont="1" applyFill="1" applyBorder="1" applyAlignment="1">
      <alignment vertical="top" wrapText="1"/>
    </xf>
    <xf numFmtId="174" fontId="29" fillId="3" borderId="3" xfId="0" applyNumberFormat="1" applyFont="1" applyFill="1" applyBorder="1" applyAlignment="1">
      <alignment vertical="top" wrapText="1"/>
    </xf>
    <xf numFmtId="174" fontId="13" fillId="3" borderId="11" xfId="0" applyNumberFormat="1" applyFont="1" applyFill="1" applyBorder="1" applyAlignment="1">
      <alignment vertical="top" wrapText="1"/>
    </xf>
    <xf numFmtId="174" fontId="28" fillId="3" borderId="3" xfId="0" applyNumberFormat="1" applyFont="1" applyFill="1" applyBorder="1" applyAlignment="1">
      <alignment vertical="top" wrapText="1"/>
    </xf>
    <xf numFmtId="174" fontId="13" fillId="4" borderId="0" xfId="0" applyNumberFormat="1" applyFont="1" applyFill="1" applyAlignment="1">
      <alignment vertical="top" wrapText="1"/>
    </xf>
    <xf numFmtId="174" fontId="13" fillId="5" borderId="2" xfId="0" applyNumberFormat="1" applyFont="1" applyFill="1" applyBorder="1" applyAlignment="1">
      <alignment vertical="top" wrapText="1"/>
    </xf>
    <xf numFmtId="174" fontId="13" fillId="6" borderId="2" xfId="0" applyNumberFormat="1" applyFont="1" applyFill="1" applyBorder="1" applyAlignment="1">
      <alignment vertical="top" wrapText="1"/>
    </xf>
    <xf numFmtId="172" fontId="11" fillId="10" borderId="3" xfId="0" applyNumberFormat="1" applyFont="1" applyFill="1" applyBorder="1" applyAlignment="1">
      <alignment vertical="top" wrapText="1"/>
    </xf>
    <xf numFmtId="2" fontId="13" fillId="0" borderId="4" xfId="0" applyNumberFormat="1" applyFont="1" applyBorder="1" applyAlignment="1">
      <alignment horizontal="center" vertical="top" wrapText="1"/>
    </xf>
    <xf numFmtId="2" fontId="13" fillId="0" borderId="3" xfId="0" applyNumberFormat="1" applyFont="1" applyBorder="1" applyAlignment="1">
      <alignment horizontal="center" vertical="top" wrapText="1"/>
    </xf>
    <xf numFmtId="0" fontId="35" fillId="3" borderId="1" xfId="0" quotePrefix="1" applyFont="1" applyFill="1" applyBorder="1" applyAlignment="1">
      <alignment vertical="top"/>
    </xf>
    <xf numFmtId="2" fontId="35" fillId="3" borderId="3" xfId="0" applyNumberFormat="1" applyFont="1" applyFill="1" applyBorder="1" applyAlignment="1">
      <alignment horizontal="center" vertical="top"/>
    </xf>
    <xf numFmtId="0" fontId="42" fillId="0" borderId="0" xfId="0" applyFont="1" applyAlignment="1">
      <alignment vertical="top"/>
    </xf>
    <xf numFmtId="0" fontId="35" fillId="0" borderId="0" xfId="0" applyFont="1" applyAlignment="1">
      <alignment vertical="top" wrapText="1"/>
    </xf>
    <xf numFmtId="1" fontId="43" fillId="0" borderId="0" xfId="2" applyNumberFormat="1" applyFont="1" applyAlignment="1">
      <alignment vertical="top" wrapText="1"/>
    </xf>
    <xf numFmtId="0" fontId="35" fillId="0" borderId="0" xfId="0" applyFont="1" applyAlignment="1">
      <alignment vertical="top"/>
    </xf>
    <xf numFmtId="0" fontId="42" fillId="0" borderId="0" xfId="0" applyFont="1" applyAlignment="1">
      <alignment vertical="top" wrapText="1"/>
    </xf>
    <xf numFmtId="167" fontId="42" fillId="0" borderId="0" xfId="0" applyNumberFormat="1" applyFont="1" applyAlignment="1">
      <alignment vertical="top" wrapText="1"/>
    </xf>
    <xf numFmtId="1" fontId="44" fillId="0" borderId="0" xfId="2" applyNumberFormat="1" applyFont="1" applyAlignment="1">
      <alignment vertical="top"/>
    </xf>
    <xf numFmtId="167" fontId="42" fillId="0" borderId="0" xfId="0" applyNumberFormat="1" applyFont="1" applyAlignment="1">
      <alignment vertical="top"/>
    </xf>
    <xf numFmtId="0" fontId="42" fillId="0" borderId="0" xfId="0" quotePrefix="1" applyFont="1" applyAlignment="1">
      <alignment vertical="top"/>
    </xf>
    <xf numFmtId="2" fontId="42" fillId="0" borderId="0" xfId="0" applyNumberFormat="1" applyFont="1" applyAlignment="1">
      <alignment vertical="top"/>
    </xf>
    <xf numFmtId="0" fontId="42" fillId="0" borderId="0" xfId="2" applyFont="1" applyAlignment="1">
      <alignment vertical="top"/>
    </xf>
    <xf numFmtId="165" fontId="42" fillId="0" borderId="0" xfId="2" quotePrefix="1" applyNumberFormat="1" applyFont="1" applyAlignment="1">
      <alignment vertical="top"/>
    </xf>
    <xf numFmtId="165" fontId="42" fillId="0" borderId="0" xfId="2" applyNumberFormat="1" applyFont="1" applyAlignment="1">
      <alignment vertical="top"/>
    </xf>
    <xf numFmtId="165" fontId="42" fillId="0" borderId="0" xfId="0" applyNumberFormat="1" applyFont="1" applyAlignment="1">
      <alignment vertical="top"/>
    </xf>
    <xf numFmtId="0" fontId="42" fillId="0" borderId="0" xfId="2" applyFont="1" applyAlignment="1">
      <alignment vertical="top" wrapText="1"/>
    </xf>
    <xf numFmtId="165" fontId="42" fillId="0" borderId="0" xfId="0" quotePrefix="1" applyNumberFormat="1" applyFont="1" applyAlignment="1">
      <alignment vertical="top"/>
    </xf>
    <xf numFmtId="0" fontId="42" fillId="0" borderId="0" xfId="2" quotePrefix="1" applyFont="1" applyAlignment="1">
      <alignment vertical="top"/>
    </xf>
    <xf numFmtId="0" fontId="45" fillId="0" borderId="0" xfId="2" quotePrefix="1" applyFont="1" applyAlignment="1">
      <alignment vertical="top" wrapText="1"/>
    </xf>
    <xf numFmtId="49" fontId="42" fillId="0" borderId="0" xfId="0" applyNumberFormat="1" applyFont="1" applyAlignment="1">
      <alignment vertical="top"/>
    </xf>
    <xf numFmtId="2" fontId="42" fillId="0" borderId="0" xfId="2" applyNumberFormat="1" applyFont="1" applyAlignment="1">
      <alignment vertical="top" wrapText="1"/>
    </xf>
    <xf numFmtId="165" fontId="42" fillId="0" borderId="0" xfId="2" applyNumberFormat="1" applyFont="1" applyAlignment="1">
      <alignment vertical="top" wrapText="1"/>
    </xf>
    <xf numFmtId="0" fontId="35" fillId="0" borderId="0" xfId="0" applyFont="1"/>
    <xf numFmtId="0" fontId="46" fillId="7" borderId="0" xfId="0" applyFont="1" applyFill="1" applyAlignment="1">
      <alignment vertical="top" wrapText="1"/>
    </xf>
    <xf numFmtId="1" fontId="0" fillId="0" borderId="3" xfId="0" applyNumberFormat="1" applyBorder="1" applyAlignment="1">
      <alignment vertical="top" wrapText="1"/>
    </xf>
    <xf numFmtId="0" fontId="21" fillId="0" borderId="0" xfId="6" applyFont="1" applyAlignment="1" applyProtection="1">
      <alignment horizontal="left" vertical="center" indent="2"/>
    </xf>
    <xf numFmtId="0" fontId="21" fillId="3" borderId="0" xfId="6" applyFont="1" applyFill="1" applyBorder="1" applyAlignment="1" applyProtection="1">
      <alignment vertical="center"/>
    </xf>
    <xf numFmtId="49" fontId="21" fillId="3" borderId="0" xfId="6" applyNumberFormat="1" applyFont="1" applyFill="1" applyBorder="1" applyAlignment="1" applyProtection="1">
      <alignment vertical="center"/>
    </xf>
    <xf numFmtId="0" fontId="0" fillId="19" borderId="0" xfId="0" applyFill="1"/>
    <xf numFmtId="0" fontId="11" fillId="19" borderId="0" xfId="0" applyFont="1" applyFill="1"/>
    <xf numFmtId="49" fontId="0" fillId="19" borderId="0" xfId="0" applyNumberFormat="1" applyFill="1"/>
    <xf numFmtId="0" fontId="0" fillId="19" borderId="0" xfId="0" applyFill="1" applyAlignment="1">
      <alignment horizontal="left"/>
    </xf>
    <xf numFmtId="0" fontId="47" fillId="3" borderId="0" xfId="0" applyFont="1" applyFill="1"/>
    <xf numFmtId="0" fontId="48" fillId="3" borderId="0" xfId="0" applyFont="1" applyFill="1" applyAlignment="1">
      <alignment horizontal="left" vertical="center"/>
    </xf>
    <xf numFmtId="0" fontId="0" fillId="0" borderId="0" xfId="0" applyAlignment="1">
      <alignment horizontal="left"/>
    </xf>
    <xf numFmtId="0" fontId="49" fillId="3" borderId="1" xfId="0" quotePrefix="1" applyFont="1" applyFill="1" applyBorder="1" applyAlignment="1">
      <alignment vertical="top"/>
    </xf>
    <xf numFmtId="0" fontId="18" fillId="20" borderId="0" xfId="0" applyFont="1" applyFill="1"/>
    <xf numFmtId="0" fontId="0" fillId="20" borderId="0" xfId="0" applyFill="1"/>
    <xf numFmtId="0" fontId="18" fillId="20" borderId="0" xfId="0" applyFont="1" applyFill="1" applyAlignment="1">
      <alignment vertical="center"/>
    </xf>
    <xf numFmtId="0" fontId="21" fillId="20" borderId="0" xfId="6" applyFont="1" applyFill="1" applyBorder="1" applyAlignment="1" applyProtection="1">
      <alignment vertical="center"/>
    </xf>
    <xf numFmtId="0" fontId="0" fillId="20" borderId="0" xfId="0" applyFill="1" applyAlignment="1">
      <alignment vertical="center"/>
    </xf>
    <xf numFmtId="0" fontId="21" fillId="20" borderId="0" xfId="6" applyFont="1" applyFill="1" applyAlignment="1" applyProtection="1"/>
    <xf numFmtId="49" fontId="0" fillId="20" borderId="0" xfId="0" applyNumberFormat="1" applyFill="1"/>
    <xf numFmtId="0" fontId="0" fillId="19" borderId="0" xfId="0" applyFill="1" applyAlignment="1">
      <alignment horizontal="left" vertical="center"/>
    </xf>
    <xf numFmtId="0" fontId="38" fillId="19" borderId="0" xfId="0" applyFont="1" applyFill="1" applyAlignment="1">
      <alignment vertical="center"/>
    </xf>
    <xf numFmtId="0" fontId="50" fillId="0" borderId="0" xfId="0" applyFont="1"/>
    <xf numFmtId="0" fontId="0" fillId="3" borderId="0" xfId="0" applyFill="1" applyAlignment="1">
      <alignment horizontal="left" vertical="center" wrapText="1"/>
    </xf>
    <xf numFmtId="0" fontId="16" fillId="14" borderId="1" xfId="0" applyFont="1" applyFill="1" applyBorder="1" applyAlignment="1">
      <alignment vertical="top"/>
    </xf>
    <xf numFmtId="0" fontId="15" fillId="14" borderId="2" xfId="0" applyFont="1" applyFill="1" applyBorder="1" applyAlignment="1">
      <alignment vertical="top"/>
    </xf>
    <xf numFmtId="0" fontId="11" fillId="10" borderId="7" xfId="0" applyFont="1" applyFill="1" applyBorder="1" applyAlignment="1">
      <alignment horizontal="left" vertical="top"/>
    </xf>
    <xf numFmtId="0" fontId="11" fillId="10" borderId="8" xfId="0" applyFont="1" applyFill="1" applyBorder="1" applyAlignment="1">
      <alignment horizontal="left" vertical="top"/>
    </xf>
    <xf numFmtId="0" fontId="11" fillId="10" borderId="1" xfId="0" applyFont="1" applyFill="1" applyBorder="1" applyAlignment="1">
      <alignment horizontal="left" vertical="top" wrapText="1"/>
    </xf>
    <xf numFmtId="0" fontId="11" fillId="10" borderId="2" xfId="0" applyFont="1" applyFill="1" applyBorder="1" applyAlignment="1">
      <alignment horizontal="left" vertical="top" wrapText="1"/>
    </xf>
    <xf numFmtId="0" fontId="13" fillId="4" borderId="0" xfId="0" applyFont="1" applyFill="1" applyAlignment="1">
      <alignment horizontal="center" vertical="top" wrapText="1"/>
    </xf>
    <xf numFmtId="0" fontId="3" fillId="4" borderId="9" xfId="0" applyFont="1" applyFill="1" applyBorder="1" applyAlignment="1">
      <alignment horizontal="left" vertical="top" wrapText="1"/>
    </xf>
    <xf numFmtId="0" fontId="14" fillId="7" borderId="9" xfId="0" applyFont="1" applyFill="1" applyBorder="1" applyAlignment="1">
      <alignment horizontal="left" vertical="top" wrapText="1"/>
    </xf>
    <xf numFmtId="0" fontId="13" fillId="4" borderId="0" xfId="0" applyFont="1" applyFill="1" applyAlignment="1">
      <alignment horizontal="left" vertical="top" wrapText="1"/>
    </xf>
  </cellXfs>
  <cellStyles count="7">
    <cellStyle name="Comma 2" xfId="4" xr:uid="{07774C04-BC26-4C64-8F3F-4C5E22F89C8B}"/>
    <cellStyle name="Comma 3" xfId="5" xr:uid="{F4B1FE5F-8AED-4FA4-A4D6-9DC5D65086D9}"/>
    <cellStyle name="Comma 4" xfId="1" xr:uid="{E1EA47C4-535E-4C3B-964B-4CF1BA58E038}"/>
    <cellStyle name="Hyperlink" xfId="6" builtinId="8"/>
    <cellStyle name="Normal" xfId="0" builtinId="0"/>
    <cellStyle name="Normal 14 2" xfId="2" xr:uid="{030C54B5-0570-429A-872B-7C8F36E8BEEF}"/>
    <cellStyle name="Normal 3" xfId="3" xr:uid="{485C0D13-7D62-45FA-B3BA-EFF90E608F20}"/>
  </cellStyles>
  <dxfs count="0"/>
  <tableStyles count="0" defaultTableStyle="TableStyleMedium2" defaultPivotStyle="PivotStyleLight16"/>
  <colors>
    <mruColors>
      <color rgb="FF009999"/>
      <color rgb="FFFF4747"/>
      <color rgb="FFFF5050"/>
      <color rgb="FFE6EBF6"/>
      <color rgb="FFF9FAFD"/>
      <color rgb="FFFFCCCC"/>
      <color rgb="FFFFCCFF"/>
      <color rgb="FFFFF6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apps.who.int/iris/handle/10665/370026?search-result=true&amp;query=burden+of+disease+water+sanitation+hygiene+2019&amp;scope=&amp;rpp=10&amp;sort_by=score&amp;order=desc"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43295</xdr:colOff>
      <xdr:row>3</xdr:row>
      <xdr:rowOff>35504</xdr:rowOff>
    </xdr:from>
    <xdr:to>
      <xdr:col>16</xdr:col>
      <xdr:colOff>434051</xdr:colOff>
      <xdr:row>32</xdr:row>
      <xdr:rowOff>127000</xdr:rowOff>
    </xdr:to>
    <xdr:sp macro="" textlink="">
      <xdr:nvSpPr>
        <xdr:cNvPr id="4" name="TextBox 3">
          <a:extLst>
            <a:ext uri="{FF2B5EF4-FFF2-40B4-BE49-F238E27FC236}">
              <a16:creationId xmlns:a16="http://schemas.microsoft.com/office/drawing/2014/main" id="{ABA10A37-53A2-4D84-A276-003CFD4212EB}"/>
            </a:ext>
          </a:extLst>
        </xdr:cNvPr>
        <xdr:cNvSpPr txBox="1"/>
      </xdr:nvSpPr>
      <xdr:spPr>
        <a:xfrm>
          <a:off x="163865" y="734808"/>
          <a:ext cx="9119996" cy="5685926"/>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hlinkClick xmlns:r="http://schemas.openxmlformats.org/officeDocument/2006/relationships" r:id=""/>
            </a:rPr>
            <a:t>WHO/HEP/ECH/WSH/2023.6 – © World Health Organization 2023. Some rights reserved. This work is available under the CC BY-NC-SA 3.0 IGO licence.</a:t>
          </a:r>
          <a:endParaRPr lang="en-US" sz="1100">
            <a:solidFill>
              <a:schemeClr val="dk1"/>
            </a:solidFill>
            <a:effectLst/>
            <a:latin typeface="+mn-lt"/>
            <a:ea typeface="+mn-ea"/>
            <a:cs typeface="+mn-cs"/>
          </a:endParaRPr>
        </a:p>
        <a:p>
          <a:endParaRPr lang="en-US" sz="1000" b="1">
            <a:solidFill>
              <a:schemeClr val="dk1"/>
            </a:solidFill>
            <a:effectLst/>
            <a:latin typeface="+mn-lt"/>
            <a:ea typeface="+mn-ea"/>
            <a:cs typeface="+mn-cs"/>
          </a:endParaRPr>
        </a:p>
        <a:p>
          <a:r>
            <a:rPr lang="en-US" sz="900" i="1">
              <a:solidFill>
                <a:schemeClr val="dk1"/>
              </a:solidFill>
              <a:effectLst/>
              <a:latin typeface="+mn-lt"/>
              <a:ea typeface="+mn-ea"/>
              <a:cs typeface="+mn-cs"/>
            </a:rPr>
            <a:t>Disclaimer: The responsibility for the interpretation and use of the material lies with the user. In no event shall the World Health Organization be liable for any damages arising from the use of the information linked to this tool. The data are not necessarily the official statistics of Member States.</a:t>
          </a:r>
        </a:p>
        <a:p>
          <a:endParaRPr lang="en-US" sz="1500" b="0">
            <a:solidFill>
              <a:schemeClr val="accent1">
                <a:lumMod val="75000"/>
              </a:schemeClr>
            </a:solidFill>
            <a:effectLst/>
            <a:latin typeface="Arial Nova" panose="020B0504020202020204" pitchFamily="34" charset="0"/>
            <a:ea typeface="+mn-ea"/>
            <a:cs typeface="+mn-cs"/>
          </a:endParaRPr>
        </a:p>
        <a:p>
          <a:r>
            <a:rPr lang="en-US" sz="1500" b="0">
              <a:solidFill>
                <a:schemeClr val="accent1">
                  <a:lumMod val="75000"/>
                </a:schemeClr>
              </a:solidFill>
              <a:effectLst/>
              <a:latin typeface="Arial Nova" panose="020B0504020202020204" pitchFamily="34" charset="0"/>
              <a:ea typeface="+mn-ea"/>
              <a:cs typeface="+mn-cs"/>
            </a:rPr>
            <a:t>Introduction</a:t>
          </a:r>
        </a:p>
        <a:p>
          <a:endParaRPr lang="en-US" sz="1500" b="0">
            <a:solidFill>
              <a:schemeClr val="accent1">
                <a:lumMod val="75000"/>
              </a:schemeClr>
            </a:solidFill>
            <a:effectLst/>
            <a:latin typeface="Arial Nova" panose="020B0504020202020204" pitchFamily="34" charset="0"/>
            <a:ea typeface="+mn-ea"/>
            <a:cs typeface="+mn-cs"/>
          </a:endParaRPr>
        </a:p>
        <a:p>
          <a:r>
            <a:rPr lang="en-US" sz="1100">
              <a:solidFill>
                <a:schemeClr val="dk1"/>
              </a:solidFill>
              <a:effectLst/>
              <a:latin typeface="+mn-lt"/>
              <a:ea typeface="+mn-ea"/>
              <a:cs typeface="+mn-cs"/>
            </a:rPr>
            <a:t>This workbook enables estimation of deaths, disability adjusted life years (DALYs), and mortality rate from </a:t>
          </a:r>
          <a:r>
            <a:rPr lang="en-US" sz="1100" b="1">
              <a:solidFill>
                <a:schemeClr val="dk1"/>
              </a:solidFill>
              <a:effectLst/>
              <a:latin typeface="+mn-lt"/>
              <a:ea typeface="+mn-ea"/>
              <a:cs typeface="+mn-cs"/>
            </a:rPr>
            <a:t>diarrhea, acute respiratory infections, protein-energy malnutrition and intestinal nematodes infections (soil-transmitted helminths)</a:t>
          </a:r>
          <a:r>
            <a:rPr lang="en-US" sz="1100">
              <a:solidFill>
                <a:schemeClr val="dk1"/>
              </a:solidFill>
              <a:effectLst/>
              <a:latin typeface="+mn-lt"/>
              <a:ea typeface="+mn-ea"/>
              <a:cs typeface="+mn-cs"/>
            </a:rPr>
            <a:t>, attributable to inadequate drinking water, sanitation, and/or hygiene (WASH). These correspond to the health outcomes included in the reporting of SDG indicator 3.9.2.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user can construct scenarios and compare health impacts from different water, sanitation, hygiene or combined WASH exposures. The scenarios can cover communities, cities or entire countries, and different years, provided the required disease and exposure data are available at those levels. </a:t>
          </a:r>
        </a:p>
        <a:p>
          <a:r>
            <a:rPr lang="en-US" sz="1100">
              <a:solidFill>
                <a:schemeClr val="dk1"/>
              </a:solidFill>
              <a:effectLst/>
              <a:latin typeface="+mn-lt"/>
              <a:ea typeface="+mn-ea"/>
              <a:cs typeface="+mn-cs"/>
            </a:rPr>
            <a:t> </a:t>
          </a:r>
        </a:p>
        <a:p>
          <a:r>
            <a:rPr lang="en-US" sz="1500" b="0">
              <a:solidFill>
                <a:schemeClr val="accent1">
                  <a:lumMod val="75000"/>
                </a:schemeClr>
              </a:solidFill>
              <a:effectLst/>
              <a:latin typeface="Arial Nova" panose="020B0504020202020204" pitchFamily="34" charset="0"/>
              <a:ea typeface="+mn-ea"/>
              <a:cs typeface="+mn-cs"/>
            </a:rPr>
            <a:t>Methods</a:t>
          </a:r>
        </a:p>
        <a:p>
          <a:endParaRPr lang="en-US" sz="1300" b="1">
            <a:solidFill>
              <a:schemeClr val="accent1">
                <a:lumMod val="7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methods underlying calculations in this spreadsheet are similar to those used by WHO for the global analysis of burden of disease attributable to WASH</a:t>
          </a:r>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WHO estimation of health impacts from environmental risks is largely based on comparative risk assessment (CRA) methods</a:t>
          </a:r>
          <a:r>
            <a:rPr lang="en-US" sz="1100" baseline="30000">
              <a:solidFill>
                <a:schemeClr val="dk1"/>
              </a:solidFill>
              <a:effectLst/>
              <a:latin typeface="+mn-lt"/>
              <a:ea typeface="+mn-ea"/>
              <a:cs typeface="+mn-cs"/>
            </a:rPr>
            <a:t>2</a:t>
          </a:r>
          <a:r>
            <a:rPr lang="en-US" sz="1100">
              <a:solidFill>
                <a:schemeClr val="dk1"/>
              </a:solidFill>
              <a:effectLst/>
              <a:latin typeface="+mn-lt"/>
              <a:ea typeface="+mn-ea"/>
              <a:cs typeface="+mn-cs"/>
            </a:rPr>
            <a:t>. The following four types of data are</a:t>
          </a:r>
          <a:r>
            <a:rPr lang="en-US" sz="1100" baseline="0">
              <a:solidFill>
                <a:schemeClr val="dk1"/>
              </a:solidFill>
              <a:effectLst/>
              <a:latin typeface="+mn-lt"/>
              <a:ea typeface="+mn-ea"/>
              <a:cs typeface="+mn-cs"/>
            </a:rPr>
            <a:t> used </a:t>
          </a:r>
          <a:r>
            <a:rPr lang="en-US" sz="1100">
              <a:solidFill>
                <a:schemeClr val="dk1"/>
              </a:solidFill>
              <a:effectLst/>
              <a:latin typeface="+mn-lt"/>
              <a:ea typeface="+mn-ea"/>
              <a:cs typeface="+mn-cs"/>
            </a:rPr>
            <a:t>(Fig 1.)</a:t>
          </a:r>
          <a:r>
            <a:rPr lang="en-US" sz="1100" baseline="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r>
            <a:rPr lang="en-US" sz="1100" b="1">
              <a:solidFill>
                <a:schemeClr val="dk1"/>
              </a:solidFill>
              <a:effectLst/>
              <a:latin typeface="+mn-lt"/>
              <a:ea typeface="+mn-ea"/>
              <a:cs typeface="+mn-cs"/>
            </a:rPr>
            <a:t>1. Exposure</a:t>
          </a:r>
          <a:r>
            <a:rPr lang="en-US" sz="1100">
              <a:solidFill>
                <a:schemeClr val="dk1"/>
              </a:solidFill>
              <a:effectLst/>
              <a:latin typeface="+mn-lt"/>
              <a:ea typeface="+mn-ea"/>
              <a:cs typeface="+mn-cs"/>
            </a:rPr>
            <a:t>: The proportion of the population with access to different levels of water, sanitation and hygiene service.</a:t>
          </a:r>
          <a:endParaRPr lang="en-US">
            <a:effectLst/>
          </a:endParaRPr>
        </a:p>
        <a:p>
          <a:r>
            <a:rPr lang="en-US" sz="1100" b="1">
              <a:solidFill>
                <a:schemeClr val="dk1"/>
              </a:solidFill>
              <a:effectLst/>
              <a:latin typeface="+mn-lt"/>
              <a:ea typeface="+mn-ea"/>
              <a:cs typeface="+mn-cs"/>
            </a:rPr>
            <a:t>2. Disease burden</a:t>
          </a:r>
          <a:r>
            <a:rPr lang="en-US" sz="1100">
              <a:solidFill>
                <a:schemeClr val="dk1"/>
              </a:solidFill>
              <a:effectLst/>
              <a:latin typeface="+mn-lt"/>
              <a:ea typeface="+mn-ea"/>
              <a:cs typeface="+mn-cs"/>
            </a:rPr>
            <a:t>: The total number of deaths and DALYs caused by diarrhoeal disease in a given year.</a:t>
          </a:r>
          <a:endParaRPr lang="en-US">
            <a:effectLst/>
          </a:endParaRPr>
        </a:p>
        <a:p>
          <a:r>
            <a:rPr lang="en-US" sz="1100" b="1">
              <a:solidFill>
                <a:schemeClr val="dk1"/>
              </a:solidFill>
              <a:effectLst/>
              <a:latin typeface="+mn-lt"/>
              <a:ea typeface="+mn-ea"/>
              <a:cs typeface="+mn-cs"/>
            </a:rPr>
            <a:t>3. Exposure-response relationship</a:t>
          </a:r>
          <a:r>
            <a:rPr lang="en-US" sz="1100">
              <a:solidFill>
                <a:schemeClr val="dk1"/>
              </a:solidFill>
              <a:effectLst/>
              <a:latin typeface="+mn-lt"/>
              <a:ea typeface="+mn-ea"/>
              <a:cs typeface="+mn-cs"/>
            </a:rPr>
            <a:t>: The relative risk, which links exposure to disease. </a:t>
          </a:r>
          <a:endParaRPr lang="en-US">
            <a:effectLst/>
          </a:endParaRPr>
        </a:p>
        <a:p>
          <a:r>
            <a:rPr lang="en-US" sz="1100" b="1">
              <a:solidFill>
                <a:schemeClr val="dk1"/>
              </a:solidFill>
              <a:effectLst/>
              <a:latin typeface="+mn-lt"/>
              <a:ea typeface="+mn-ea"/>
              <a:cs typeface="+mn-cs"/>
            </a:rPr>
            <a:t>4. Population estimates</a:t>
          </a:r>
          <a:r>
            <a:rPr lang="en-US" sz="1100">
              <a:solidFill>
                <a:schemeClr val="dk1"/>
              </a:solidFill>
              <a:effectLst/>
              <a:latin typeface="+mn-lt"/>
              <a:ea typeface="+mn-ea"/>
              <a:cs typeface="+mn-cs"/>
            </a:rPr>
            <a:t>: These</a:t>
          </a:r>
          <a:r>
            <a:rPr lang="en-US" sz="1100" baseline="0">
              <a:solidFill>
                <a:schemeClr val="dk1"/>
              </a:solidFill>
              <a:effectLst/>
              <a:latin typeface="+mn-lt"/>
              <a:ea typeface="+mn-ea"/>
              <a:cs typeface="+mn-cs"/>
            </a:rPr>
            <a:t> are u</a:t>
          </a:r>
          <a:r>
            <a:rPr lang="en-US" sz="1100">
              <a:solidFill>
                <a:schemeClr val="dk1"/>
              </a:solidFill>
              <a:effectLst/>
              <a:latin typeface="+mn-lt"/>
              <a:ea typeface="+mn-ea"/>
              <a:cs typeface="+mn-cs"/>
            </a:rPr>
            <a:t>sed in the calculation of the mortality rate expressed as deaths per 100,000 population.</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CRA draws on exposure data and the exposure-response relationship to calculate the population-attributable fraction (PAF). The PAF is the proportional reduction in population disease or mortality that would occur if exposure to a risk factor were reduced to an alternative ideal/minimum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exposure scenario. This methodology has been used extensively to calculate the health gains from improvements in WASH.</a:t>
          </a:r>
          <a:r>
            <a:rPr lang="en-US" sz="1100" baseline="30000">
              <a:solidFill>
                <a:schemeClr val="dk1"/>
              </a:solidFill>
              <a:effectLst/>
              <a:latin typeface="+mn-lt"/>
              <a:ea typeface="+mn-ea"/>
              <a:cs typeface="+mn-cs"/>
            </a:rPr>
            <a:t>3,4</a:t>
          </a:r>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xdr:txBody>
    </xdr:sp>
    <xdr:clientData/>
  </xdr:twoCellAnchor>
  <xdr:twoCellAnchor>
    <xdr:from>
      <xdr:col>1</xdr:col>
      <xdr:colOff>92654</xdr:colOff>
      <xdr:row>85</xdr:row>
      <xdr:rowOff>152400</xdr:rowOff>
    </xdr:from>
    <xdr:to>
      <xdr:col>15</xdr:col>
      <xdr:colOff>352426</xdr:colOff>
      <xdr:row>88</xdr:row>
      <xdr:rowOff>0</xdr:rowOff>
    </xdr:to>
    <xdr:sp macro="" textlink="">
      <xdr:nvSpPr>
        <xdr:cNvPr id="5" name="TextBox 4">
          <a:extLst>
            <a:ext uri="{FF2B5EF4-FFF2-40B4-BE49-F238E27FC236}">
              <a16:creationId xmlns:a16="http://schemas.microsoft.com/office/drawing/2014/main" id="{68E328E1-2543-4100-AFAA-7DB2DF0345FB}"/>
            </a:ext>
          </a:extLst>
        </xdr:cNvPr>
        <xdr:cNvSpPr txBox="1"/>
      </xdr:nvSpPr>
      <xdr:spPr>
        <a:xfrm>
          <a:off x="216479" y="16087725"/>
          <a:ext cx="8432222" cy="4286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500" b="0">
              <a:solidFill>
                <a:schemeClr val="accent1">
                  <a:lumMod val="75000"/>
                </a:schemeClr>
              </a:solidFill>
              <a:effectLst/>
              <a:latin typeface="Arial Nova" panose="020B0504020202020204" pitchFamily="34" charset="0"/>
              <a:ea typeface="+mn-ea"/>
              <a:cs typeface="+mn-cs"/>
            </a:rPr>
            <a:t>References </a:t>
          </a:r>
        </a:p>
      </xdr:txBody>
    </xdr:sp>
    <xdr:clientData/>
  </xdr:twoCellAnchor>
  <xdr:twoCellAnchor>
    <xdr:from>
      <xdr:col>0</xdr:col>
      <xdr:colOff>126999</xdr:colOff>
      <xdr:row>0</xdr:row>
      <xdr:rowOff>0</xdr:rowOff>
    </xdr:from>
    <xdr:to>
      <xdr:col>23</xdr:col>
      <xdr:colOff>582084</xdr:colOff>
      <xdr:row>3</xdr:row>
      <xdr:rowOff>63500</xdr:rowOff>
    </xdr:to>
    <xdr:sp macro="" textlink="">
      <xdr:nvSpPr>
        <xdr:cNvPr id="6" name="TextBox 5">
          <a:extLst>
            <a:ext uri="{FF2B5EF4-FFF2-40B4-BE49-F238E27FC236}">
              <a16:creationId xmlns:a16="http://schemas.microsoft.com/office/drawing/2014/main" id="{DF080909-F778-4757-9505-DCE051B9BC99}"/>
            </a:ext>
          </a:extLst>
        </xdr:cNvPr>
        <xdr:cNvSpPr txBox="1"/>
      </xdr:nvSpPr>
      <xdr:spPr>
        <a:xfrm>
          <a:off x="126999" y="0"/>
          <a:ext cx="13133918" cy="762000"/>
        </a:xfrm>
        <a:prstGeom prst="rect">
          <a:avLst/>
        </a:prstGeom>
        <a:solidFill>
          <a:schemeClr val="accent1">
            <a:lumMod val="20000"/>
            <a:lumOff val="80000"/>
          </a:schemeClr>
        </a:solidFill>
        <a:ln w="9525" cmpd="sng">
          <a:solidFill>
            <a:schemeClr val="accent1">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2000" b="0">
              <a:solidFill>
                <a:schemeClr val="accent1">
                  <a:lumMod val="75000"/>
                </a:schemeClr>
              </a:solidFill>
              <a:effectLst/>
              <a:latin typeface="Arial Nova" panose="020B0504020202020204" pitchFamily="34" charset="0"/>
              <a:ea typeface="+mn-ea"/>
              <a:cs typeface="+mn-cs"/>
            </a:rPr>
            <a:t>Tool for estimating the burden of disease from inadequate drinking-water, sanitation and hygiene</a:t>
          </a:r>
          <a:endParaRPr lang="en-US" sz="2000" b="0">
            <a:solidFill>
              <a:schemeClr val="accent1">
                <a:lumMod val="75000"/>
              </a:schemeClr>
            </a:solidFill>
            <a:effectLst/>
            <a:latin typeface="Arial Nova" panose="020B0504020202020204" pitchFamily="34" charset="0"/>
          </a:endParaRPr>
        </a:p>
        <a:p>
          <a:endParaRPr lang="en-US" sz="1800"/>
        </a:p>
      </xdr:txBody>
    </xdr:sp>
    <xdr:clientData/>
  </xdr:twoCellAnchor>
  <xdr:twoCellAnchor editAs="oneCell">
    <xdr:from>
      <xdr:col>30</xdr:col>
      <xdr:colOff>42333</xdr:colOff>
      <xdr:row>0</xdr:row>
      <xdr:rowOff>112184</xdr:rowOff>
    </xdr:from>
    <xdr:to>
      <xdr:col>32</xdr:col>
      <xdr:colOff>186266</xdr:colOff>
      <xdr:row>2</xdr:row>
      <xdr:rowOff>83609</xdr:rowOff>
    </xdr:to>
    <xdr:pic>
      <xdr:nvPicPr>
        <xdr:cNvPr id="11" name="Picture 10">
          <a:extLst>
            <a:ext uri="{FF2B5EF4-FFF2-40B4-BE49-F238E27FC236}">
              <a16:creationId xmlns:a16="http://schemas.microsoft.com/office/drawing/2014/main" id="{176C010C-C5CC-4F65-AB88-6C4675B3D7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96833" y="112184"/>
          <a:ext cx="1329266" cy="415925"/>
        </a:xfrm>
        <a:prstGeom prst="rect">
          <a:avLst/>
        </a:prstGeom>
        <a:noFill/>
        <a:ln>
          <a:noFill/>
        </a:ln>
      </xdr:spPr>
    </xdr:pic>
    <xdr:clientData/>
  </xdr:twoCellAnchor>
  <xdr:twoCellAnchor editAs="oneCell">
    <xdr:from>
      <xdr:col>1</xdr:col>
      <xdr:colOff>131875</xdr:colOff>
      <xdr:row>31</xdr:row>
      <xdr:rowOff>132627</xdr:rowOff>
    </xdr:from>
    <xdr:to>
      <xdr:col>11</xdr:col>
      <xdr:colOff>556400</xdr:colOff>
      <xdr:row>49</xdr:row>
      <xdr:rowOff>118534</xdr:rowOff>
    </xdr:to>
    <xdr:pic>
      <xdr:nvPicPr>
        <xdr:cNvPr id="2" name="Picture 1">
          <a:extLst>
            <a:ext uri="{FF2B5EF4-FFF2-40B4-BE49-F238E27FC236}">
              <a16:creationId xmlns:a16="http://schemas.microsoft.com/office/drawing/2014/main" id="{43AC2094-C6A6-1852-F890-EEA40984697C}"/>
            </a:ext>
          </a:extLst>
        </xdr:cNvPr>
        <xdr:cNvPicPr>
          <a:picLocks noChangeAspect="1"/>
        </xdr:cNvPicPr>
      </xdr:nvPicPr>
      <xdr:blipFill>
        <a:blip xmlns:r="http://schemas.openxmlformats.org/officeDocument/2006/relationships" r:embed="rId2"/>
        <a:stretch>
          <a:fillRect/>
        </a:stretch>
      </xdr:blipFill>
      <xdr:spPr>
        <a:xfrm>
          <a:off x="252445" y="6233450"/>
          <a:ext cx="5934556" cy="3458312"/>
        </a:xfrm>
        <a:prstGeom prst="rect">
          <a:avLst/>
        </a:prstGeom>
      </xdr:spPr>
    </xdr:pic>
    <xdr:clientData/>
  </xdr:twoCellAnchor>
  <xdr:twoCellAnchor>
    <xdr:from>
      <xdr:col>20</xdr:col>
      <xdr:colOff>508000</xdr:colOff>
      <xdr:row>7</xdr:row>
      <xdr:rowOff>63497</xdr:rowOff>
    </xdr:from>
    <xdr:to>
      <xdr:col>32</xdr:col>
      <xdr:colOff>74084</xdr:colOff>
      <xdr:row>57</xdr:row>
      <xdr:rowOff>96456</xdr:rowOff>
    </xdr:to>
    <xdr:sp macro="" textlink="">
      <xdr:nvSpPr>
        <xdr:cNvPr id="3" name="TextBox 2">
          <a:extLst>
            <a:ext uri="{FF2B5EF4-FFF2-40B4-BE49-F238E27FC236}">
              <a16:creationId xmlns:a16="http://schemas.microsoft.com/office/drawing/2014/main" id="{0C51D525-7852-4107-A5D6-F89E2C129C0A}"/>
            </a:ext>
          </a:extLst>
        </xdr:cNvPr>
        <xdr:cNvSpPr txBox="1"/>
      </xdr:nvSpPr>
      <xdr:spPr>
        <a:xfrm>
          <a:off x="11311038" y="1534446"/>
          <a:ext cx="6872603" cy="9666472"/>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accent1">
                  <a:lumMod val="75000"/>
                </a:schemeClr>
              </a:solidFill>
              <a:effectLst/>
              <a:latin typeface="Arial Nova" panose="020B0504020202020204" pitchFamily="34" charset="0"/>
              <a:ea typeface="+mn-ea"/>
              <a:cs typeface="+mn-cs"/>
            </a:rPr>
            <a:t>How to use the tool?</a:t>
          </a:r>
        </a:p>
        <a:p>
          <a:endParaRPr lang="en-US" sz="1500" b="0">
            <a:solidFill>
              <a:schemeClr val="accent1">
                <a:lumMod val="75000"/>
              </a:schemeClr>
            </a:solidFill>
            <a:effectLst/>
            <a:latin typeface="Arial Nova" panose="020B0504020202020204" pitchFamily="34" charset="0"/>
            <a:ea typeface="+mn-ea"/>
            <a:cs typeface="+mn-cs"/>
          </a:endParaRPr>
        </a:p>
        <a:p>
          <a:r>
            <a:rPr lang="en-US" sz="1100">
              <a:solidFill>
                <a:schemeClr val="dk1"/>
              </a:solidFill>
              <a:effectLst/>
              <a:latin typeface="+mn-lt"/>
              <a:ea typeface="+mn-ea"/>
              <a:cs typeface="+mn-cs"/>
            </a:rPr>
            <a:t>The tool allows for comparing different WASH scenarios. The “Scenario SDG” tab is autopopulated with data used to calculate SDG 3.9.2 estimates. </a:t>
          </a:r>
          <a:r>
            <a:rPr lang="en-US" sz="1100">
              <a:solidFill>
                <a:srgbClr val="009999"/>
              </a:solidFill>
              <a:effectLst/>
              <a:latin typeface="+mn-lt"/>
              <a:ea typeface="+mn-ea"/>
              <a:cs typeface="+mn-cs"/>
            </a:rPr>
            <a:t>Data are</a:t>
          </a:r>
          <a:r>
            <a:rPr lang="en-US" sz="1100" baseline="0">
              <a:solidFill>
                <a:srgbClr val="009999"/>
              </a:solidFill>
              <a:effectLst/>
              <a:latin typeface="+mn-lt"/>
              <a:ea typeface="+mn-ea"/>
              <a:cs typeface="+mn-cs"/>
            </a:rPr>
            <a:t> available for LMIC only</a:t>
          </a:r>
          <a:r>
            <a:rPr lang="en-US" sz="1100" baseline="0">
              <a:solidFill>
                <a:schemeClr val="dk1"/>
              </a:solidFill>
              <a:effectLst/>
              <a:latin typeface="+mn-lt"/>
              <a:ea typeface="+mn-ea"/>
              <a:cs typeface="+mn-cs"/>
            </a:rPr>
            <a:t>. </a:t>
          </a:r>
          <a:r>
            <a:rPr lang="en-US" sz="1100">
              <a:solidFill>
                <a:srgbClr val="009999"/>
              </a:solidFill>
              <a:effectLst/>
              <a:latin typeface="+mn-lt"/>
              <a:ea typeface="+mn-ea"/>
              <a:cs typeface="+mn-cs"/>
            </a:rPr>
            <a:t>To note however, that this</a:t>
          </a:r>
          <a:r>
            <a:rPr lang="en-US" sz="1100" baseline="0">
              <a:solidFill>
                <a:srgbClr val="009999"/>
              </a:solidFill>
              <a:effectLst/>
              <a:latin typeface="+mn-lt"/>
              <a:ea typeface="+mn-ea"/>
              <a:cs typeface="+mn-cs"/>
            </a:rPr>
            <a:t> tab </a:t>
          </a:r>
          <a:r>
            <a:rPr lang="en-US" sz="1100">
              <a:solidFill>
                <a:srgbClr val="009999"/>
              </a:solidFill>
              <a:effectLst/>
              <a:latin typeface="+mn-lt"/>
              <a:ea typeface="+mn-ea"/>
              <a:cs typeface="+mn-cs"/>
            </a:rPr>
            <a:t>will reproduce estimates similar but not identical to those in the country files, due to the simplified modelling possible with Excel. </a:t>
          </a:r>
          <a:r>
            <a:rPr lang="en-US" sz="1100">
              <a:solidFill>
                <a:schemeClr val="dk1"/>
              </a:solidFill>
              <a:effectLst/>
              <a:latin typeface="+mn-lt"/>
              <a:ea typeface="+mn-ea"/>
              <a:cs typeface="+mn-cs"/>
            </a:rPr>
            <a:t>The “Scenario ALT” tab can be overwritten with the user’s own data. The “Difference” tab will display the difference between the two scenarios.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In</a:t>
          </a:r>
          <a:r>
            <a:rPr lang="en-US" sz="1100" b="1" u="sng" baseline="0">
              <a:solidFill>
                <a:schemeClr val="dk1"/>
              </a:solidFill>
              <a:effectLst/>
              <a:latin typeface="+mn-lt"/>
              <a:ea typeface="+mn-ea"/>
              <a:cs typeface="+mn-cs"/>
            </a:rPr>
            <a:t> the scenario worksheet: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user needs first to select the country from the </a:t>
          </a:r>
          <a:r>
            <a:rPr lang="en-US" sz="1100" b="1">
              <a:solidFill>
                <a:schemeClr val="dk1"/>
              </a:solidFill>
              <a:effectLst/>
              <a:latin typeface="+mn-lt"/>
              <a:ea typeface="+mn-ea"/>
              <a:cs typeface="+mn-cs"/>
            </a:rPr>
            <a:t>dropdown menu</a:t>
          </a:r>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200" b="1">
              <a:solidFill>
                <a:srgbClr val="FF0000"/>
              </a:solidFill>
              <a:effectLst/>
              <a:latin typeface="+mn-lt"/>
              <a:ea typeface="+mn-ea"/>
              <a:cs typeface="+mn-cs"/>
            </a:rPr>
            <a:t>Section A.</a:t>
          </a:r>
          <a:r>
            <a:rPr lang="en-US" sz="1200">
              <a:solidFill>
                <a:srgbClr val="FF0000"/>
              </a:solidFill>
              <a:effectLst/>
              <a:latin typeface="+mn-lt"/>
              <a:ea typeface="+mn-ea"/>
              <a:cs typeface="+mn-cs"/>
            </a:rPr>
            <a:t> will automatically autopopulate with the following data:</a:t>
          </a:r>
        </a:p>
        <a:p>
          <a:endParaRPr lang="en-US" sz="1100">
            <a:solidFill>
              <a:srgbClr val="FF0000"/>
            </a:solidFill>
            <a:effectLst/>
            <a:latin typeface="+mn-lt"/>
            <a:ea typeface="+mn-ea"/>
            <a:cs typeface="+mn-cs"/>
          </a:endParaRPr>
        </a:p>
        <a:p>
          <a:r>
            <a:rPr lang="fr-FR" sz="1100">
              <a:solidFill>
                <a:schemeClr val="dk1"/>
              </a:solidFill>
              <a:effectLst/>
              <a:latin typeface="+mn-lt"/>
              <a:ea typeface="+mn-ea"/>
              <a:cs typeface="+mn-cs"/>
            </a:rPr>
            <a:t>1. Population estimates from UN population division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Total deaths and DALYs for health outcomes included in the calculation of SDG 3.9.2 from WHO global health estimates for the year 2019 </a:t>
          </a:r>
        </a:p>
        <a:p>
          <a:r>
            <a:rPr lang="en-US" sz="1100">
              <a:solidFill>
                <a:schemeClr val="dk1"/>
              </a:solidFill>
              <a:effectLst/>
              <a:latin typeface="+mn-lt"/>
              <a:ea typeface="+mn-ea"/>
              <a:cs typeface="+mn-cs"/>
            </a:rPr>
            <a:t>3. Data on exposure to risk factors (drinking-water, sanitation and hygiene) which are modelled from the WHO/UNICEF JMP data</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user can overwrite the autopopulated cells in section A. with its own data / scenario in the Scenario ALT tab.</a:t>
          </a:r>
        </a:p>
        <a:p>
          <a:endParaRPr lang="en-US" sz="1100">
            <a:solidFill>
              <a:schemeClr val="dk1"/>
            </a:solidFill>
            <a:effectLst/>
            <a:latin typeface="+mn-lt"/>
            <a:ea typeface="+mn-ea"/>
            <a:cs typeface="+mn-cs"/>
          </a:endParaRPr>
        </a:p>
        <a:p>
          <a:r>
            <a:rPr lang="en-US" sz="1200" b="1">
              <a:solidFill>
                <a:srgbClr val="FF0000"/>
              </a:solidFill>
              <a:effectLst/>
              <a:latin typeface="+mn-lt"/>
              <a:ea typeface="+mn-ea"/>
              <a:cs typeface="+mn-cs"/>
            </a:rPr>
            <a:t>Section B.</a:t>
          </a:r>
          <a:r>
            <a:rPr lang="en-US" sz="1200">
              <a:solidFill>
                <a:srgbClr val="FF0000"/>
              </a:solidFill>
              <a:effectLst/>
              <a:latin typeface="+mn-lt"/>
              <a:ea typeface="+mn-ea"/>
              <a:cs typeface="+mn-cs"/>
            </a:rPr>
            <a:t> includes estimates of the exposure-response relationships or relative risks </a:t>
          </a:r>
        </a:p>
        <a:p>
          <a:endParaRPr lang="en-US" sz="1100">
            <a:solidFill>
              <a:srgbClr val="FF0000"/>
            </a:solidFill>
            <a:effectLst/>
            <a:latin typeface="+mn-lt"/>
            <a:ea typeface="+mn-ea"/>
            <a:cs typeface="+mn-cs"/>
          </a:endParaRPr>
        </a:p>
        <a:p>
          <a:r>
            <a:rPr lang="en-US" sz="1100">
              <a:solidFill>
                <a:schemeClr val="dk1"/>
              </a:solidFill>
              <a:effectLst/>
              <a:latin typeface="+mn-lt"/>
              <a:ea typeface="+mn-ea"/>
              <a:cs typeface="+mn-cs"/>
            </a:rPr>
            <a:t>These data come from published systematic reviews of the literature</a:t>
          </a:r>
          <a:r>
            <a:rPr lang="en-US" sz="1100" baseline="30000">
              <a:solidFill>
                <a:schemeClr val="dk1"/>
              </a:solidFill>
              <a:effectLst/>
              <a:latin typeface="+mn-lt"/>
              <a:ea typeface="+mn-ea"/>
              <a:cs typeface="+mn-cs"/>
            </a:rPr>
            <a:t> </a:t>
          </a:r>
          <a:r>
            <a:rPr lang="en-US" sz="1100">
              <a:solidFill>
                <a:schemeClr val="dk1"/>
              </a:solidFill>
              <a:effectLst/>
              <a:latin typeface="+mn-lt"/>
              <a:ea typeface="+mn-ea"/>
              <a:cs typeface="+mn-cs"/>
            </a:rPr>
            <a:t>and are the same for all countries.</a:t>
          </a:r>
        </a:p>
        <a:p>
          <a:r>
            <a:rPr lang="en-US" sz="1100">
              <a:solidFill>
                <a:schemeClr val="dk1"/>
              </a:solidFill>
              <a:effectLst/>
              <a:latin typeface="+mn-lt"/>
              <a:ea typeface="+mn-ea"/>
              <a:cs typeface="+mn-cs"/>
            </a:rPr>
            <a:t>These cells are locked and can't be changed</a:t>
          </a:r>
        </a:p>
        <a:p>
          <a:endParaRPr lang="en-US" sz="1100">
            <a:solidFill>
              <a:schemeClr val="dk1"/>
            </a:solidFill>
            <a:effectLst/>
            <a:latin typeface="+mn-lt"/>
            <a:ea typeface="+mn-ea"/>
            <a:cs typeface="+mn-cs"/>
          </a:endParaRPr>
        </a:p>
        <a:p>
          <a:r>
            <a:rPr lang="en-US" sz="1200" b="1">
              <a:solidFill>
                <a:srgbClr val="FF0000"/>
              </a:solidFill>
              <a:effectLst/>
              <a:latin typeface="+mn-lt"/>
              <a:ea typeface="+mn-ea"/>
              <a:cs typeface="+mn-cs"/>
            </a:rPr>
            <a:t>Section C.</a:t>
          </a:r>
          <a:r>
            <a:rPr lang="en-US" sz="1200">
              <a:solidFill>
                <a:srgbClr val="FF0000"/>
              </a:solidFill>
              <a:effectLst/>
              <a:latin typeface="+mn-lt"/>
              <a:ea typeface="+mn-ea"/>
              <a:cs typeface="+mn-cs"/>
            </a:rPr>
            <a:t> provides the following output data:</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 Population attributable fraction (PAF) </a:t>
          </a:r>
          <a:r>
            <a:rPr lang="en-US" sz="1100">
              <a:solidFill>
                <a:schemeClr val="dk1"/>
              </a:solidFill>
              <a:effectLst/>
              <a:latin typeface="+mn-lt"/>
              <a:ea typeface="+mn-ea"/>
              <a:cs typeface="+mn-cs"/>
            </a:rPr>
            <a:t>for drinking-water, sanitation and hygiene are calculated separately and overall based on exposures in section A. and the exposure-response relationship in section B. </a:t>
          </a:r>
        </a:p>
        <a:p>
          <a:r>
            <a:rPr lang="en-US" sz="1100" b="1">
              <a:solidFill>
                <a:schemeClr val="dk1"/>
              </a:solidFill>
              <a:effectLst/>
              <a:latin typeface="+mn-lt"/>
              <a:ea typeface="+mn-ea"/>
              <a:cs typeface="+mn-cs"/>
            </a:rPr>
            <a:t>2. and 3</a:t>
          </a:r>
          <a:r>
            <a:rPr lang="en-US" sz="1100">
              <a:solidFill>
                <a:schemeClr val="dk1"/>
              </a:solidFill>
              <a:effectLst/>
              <a:latin typeface="+mn-lt"/>
              <a:ea typeface="+mn-ea"/>
              <a:cs typeface="+mn-cs"/>
            </a:rPr>
            <a:t>. Number of deaths and DALYs for each health outcome attributable to unsafe WASH for children  under five years of age, as well as male, female and all ages. These are calculated based on the PAFs for WASH and the total deaths and DALYs envelopes for each health outcome in section A. The table also shows the mortality rate attributed to unsafe WASH (calculated using WASH attributable deaths and population estimates for all ages) or the number of deaths per a 100,000 population.</a:t>
          </a:r>
        </a:p>
        <a:p>
          <a:endParaRPr lang="en-US"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i="1">
              <a:solidFill>
                <a:srgbClr val="009999"/>
              </a:solidFill>
              <a:effectLst/>
              <a:latin typeface="+mn-lt"/>
              <a:ea typeface="+mn-ea"/>
              <a:cs typeface="+mn-cs"/>
            </a:rPr>
            <a:t>Note: </a:t>
          </a:r>
          <a:r>
            <a:rPr lang="en-US" sz="1100" i="1">
              <a:solidFill>
                <a:srgbClr val="009999"/>
              </a:solidFill>
              <a:effectLst/>
              <a:latin typeface="+mn-lt"/>
              <a:ea typeface="+mn-ea"/>
              <a:cs typeface="+mn-cs"/>
            </a:rPr>
            <a:t>The attributable fractions of diarrhoea from water, sanitation and hygiene cannot directly be summed, as one case of diarrhoea could be prevented by improving drinking-water, sanitation or hygiene. Therefore, a specific formula is used to combine the attributable fractions for water, sanitation and hygiene, which takes into account the fact that these risk factors are related avoid double counting.</a:t>
          </a:r>
          <a:endParaRPr lang="en-US" sz="1100" i="1">
            <a:solidFill>
              <a:srgbClr val="009999"/>
            </a:solidFill>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a:t>
          </a:r>
          <a:r>
            <a:rPr lang="en-US" sz="1100" baseline="0">
              <a:solidFill>
                <a:schemeClr val="dk1"/>
              </a:solidFill>
              <a:effectLst/>
              <a:latin typeface="+mn-lt"/>
              <a:ea typeface="+mn-ea"/>
              <a:cs typeface="+mn-cs"/>
            </a:rPr>
            <a:t>urther information on the methods and data sources can be found here:</a:t>
          </a:r>
        </a:p>
        <a:p>
          <a:r>
            <a:rPr lang="en-US" sz="1100">
              <a:solidFill>
                <a:schemeClr val="dk1"/>
              </a:solidFill>
              <a:effectLst/>
              <a:latin typeface="+mn-lt"/>
              <a:ea typeface="+mn-ea"/>
              <a:cs typeface="+mn-cs"/>
            </a:rPr>
            <a:t>		</a:t>
          </a:r>
        </a:p>
      </xdr:txBody>
    </xdr:sp>
    <xdr:clientData/>
  </xdr:twoCellAnchor>
  <xdr:twoCellAnchor>
    <xdr:from>
      <xdr:col>17</xdr:col>
      <xdr:colOff>110819</xdr:colOff>
      <xdr:row>18</xdr:row>
      <xdr:rowOff>42333</xdr:rowOff>
    </xdr:from>
    <xdr:to>
      <xdr:col>20</xdr:col>
      <xdr:colOff>349250</xdr:colOff>
      <xdr:row>29</xdr:row>
      <xdr:rowOff>47749</xdr:rowOff>
    </xdr:to>
    <xdr:sp macro="" textlink="">
      <xdr:nvSpPr>
        <xdr:cNvPr id="8" name="Arrow: Down 7">
          <a:extLst>
            <a:ext uri="{FF2B5EF4-FFF2-40B4-BE49-F238E27FC236}">
              <a16:creationId xmlns:a16="http://schemas.microsoft.com/office/drawing/2014/main" id="{B75B51D0-233A-FEE8-4CFF-C204D5765C13}"/>
            </a:ext>
          </a:extLst>
        </xdr:cNvPr>
        <xdr:cNvSpPr/>
      </xdr:nvSpPr>
      <xdr:spPr>
        <a:xfrm rot="16200000">
          <a:off x="9344868" y="3857534"/>
          <a:ext cx="2100916" cy="1582514"/>
        </a:xfrm>
        <a:prstGeom prst="down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21</xdr:col>
      <xdr:colOff>52917</xdr:colOff>
      <xdr:row>47</xdr:row>
      <xdr:rowOff>122097</xdr:rowOff>
    </xdr:from>
    <xdr:to>
      <xdr:col>22</xdr:col>
      <xdr:colOff>550334</xdr:colOff>
      <xdr:row>55</xdr:row>
      <xdr:rowOff>190499</xdr:rowOff>
    </xdr:to>
    <xdr:pic>
      <xdr:nvPicPr>
        <xdr:cNvPr id="7" name="Picture 6">
          <a:hlinkClick xmlns:r="http://schemas.openxmlformats.org/officeDocument/2006/relationships" r:id="rId3"/>
          <a:extLst>
            <a:ext uri="{FF2B5EF4-FFF2-40B4-BE49-F238E27FC236}">
              <a16:creationId xmlns:a16="http://schemas.microsoft.com/office/drawing/2014/main" id="{EFBC0E85-C583-E0BE-D956-16DC518AAE04}"/>
            </a:ext>
          </a:extLst>
        </xdr:cNvPr>
        <xdr:cNvPicPr>
          <a:picLocks noChangeAspect="1"/>
        </xdr:cNvPicPr>
      </xdr:nvPicPr>
      <xdr:blipFill>
        <a:blip xmlns:r="http://schemas.openxmlformats.org/officeDocument/2006/relationships" r:embed="rId4"/>
        <a:stretch>
          <a:fillRect/>
        </a:stretch>
      </xdr:blipFill>
      <xdr:spPr>
        <a:xfrm>
          <a:off x="11504084" y="9202597"/>
          <a:ext cx="1111250" cy="1581819"/>
        </a:xfrm>
        <a:prstGeom prst="rect">
          <a:avLst/>
        </a:prstGeom>
        <a:ln>
          <a:solidFill>
            <a:schemeClr val="bg1">
              <a:lumMod val="8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19051</xdr:colOff>
      <xdr:row>66</xdr:row>
      <xdr:rowOff>9526</xdr:rowOff>
    </xdr:from>
    <xdr:to>
      <xdr:col>6</xdr:col>
      <xdr:colOff>733425</xdr:colOff>
      <xdr:row>70</xdr:row>
      <xdr:rowOff>123825</xdr:rowOff>
    </xdr:to>
    <xdr:sp macro="" textlink="">
      <xdr:nvSpPr>
        <xdr:cNvPr id="4" name="TextBox 3">
          <a:extLst>
            <a:ext uri="{FF2B5EF4-FFF2-40B4-BE49-F238E27FC236}">
              <a16:creationId xmlns:a16="http://schemas.microsoft.com/office/drawing/2014/main" id="{0C3F4814-8F3A-4DDA-8D2C-BFC24FAB1B9D}"/>
            </a:ext>
          </a:extLst>
        </xdr:cNvPr>
        <xdr:cNvSpPr txBox="1"/>
      </xdr:nvSpPr>
      <xdr:spPr>
        <a:xfrm>
          <a:off x="7610476" y="13401676"/>
          <a:ext cx="2695574" cy="942974"/>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Water</a:t>
          </a:r>
          <a:r>
            <a:rPr lang="en-US" sz="1100" b="1" baseline="0"/>
            <a:t> c</a:t>
          </a:r>
          <a:r>
            <a:rPr lang="en-US" sz="1100" b="1"/>
            <a:t>ounterfactual </a:t>
          </a:r>
          <a:r>
            <a:rPr lang="en-US" sz="1100"/>
            <a:t>(minimum risk</a:t>
          </a:r>
          <a:r>
            <a:rPr lang="en-US" sz="1100" baseline="0"/>
            <a:t> level): safely managed drinking-water / improved drinking-water on premises and of high water quality.</a:t>
          </a:r>
          <a:endParaRPr lang="en-US" sz="1100"/>
        </a:p>
      </xdr:txBody>
    </xdr:sp>
    <xdr:clientData/>
  </xdr:twoCellAnchor>
  <xdr:twoCellAnchor>
    <xdr:from>
      <xdr:col>4</xdr:col>
      <xdr:colOff>0</xdr:colOff>
      <xdr:row>76</xdr:row>
      <xdr:rowOff>0</xdr:rowOff>
    </xdr:from>
    <xdr:to>
      <xdr:col>6</xdr:col>
      <xdr:colOff>704850</xdr:colOff>
      <xdr:row>78</xdr:row>
      <xdr:rowOff>142875</xdr:rowOff>
    </xdr:to>
    <xdr:sp macro="" textlink="">
      <xdr:nvSpPr>
        <xdr:cNvPr id="5" name="TextBox 4">
          <a:extLst>
            <a:ext uri="{FF2B5EF4-FFF2-40B4-BE49-F238E27FC236}">
              <a16:creationId xmlns:a16="http://schemas.microsoft.com/office/drawing/2014/main" id="{88B99452-AFF1-403E-9454-6ABCA73A6363}"/>
            </a:ext>
          </a:extLst>
        </xdr:cNvPr>
        <xdr:cNvSpPr txBox="1"/>
      </xdr:nvSpPr>
      <xdr:spPr>
        <a:xfrm>
          <a:off x="7591425" y="15411450"/>
          <a:ext cx="2686050" cy="54292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Sanitation</a:t>
          </a:r>
          <a:r>
            <a:rPr lang="en-US" sz="1100" baseline="0"/>
            <a:t> </a:t>
          </a:r>
          <a:r>
            <a:rPr lang="en-US" sz="1100" b="1" baseline="0"/>
            <a:t>c</a:t>
          </a:r>
          <a:r>
            <a:rPr lang="en-US" sz="1100" b="1"/>
            <a:t>ounterfactual </a:t>
          </a:r>
          <a:r>
            <a:rPr lang="en-US" sz="1100"/>
            <a:t>(minimum risk</a:t>
          </a:r>
          <a:r>
            <a:rPr lang="en-US" sz="1100" baseline="0"/>
            <a:t> level): basic sanitation connected to sewer</a:t>
          </a:r>
          <a:endParaRPr lang="en-US" sz="1100"/>
        </a:p>
      </xdr:txBody>
    </xdr:sp>
    <xdr:clientData/>
  </xdr:twoCellAnchor>
  <xdr:twoCellAnchor>
    <xdr:from>
      <xdr:col>4</xdr:col>
      <xdr:colOff>0</xdr:colOff>
      <xdr:row>79</xdr:row>
      <xdr:rowOff>190499</xdr:rowOff>
    </xdr:from>
    <xdr:to>
      <xdr:col>6</xdr:col>
      <xdr:colOff>695325</xdr:colOff>
      <xdr:row>82</xdr:row>
      <xdr:rowOff>152400</xdr:rowOff>
    </xdr:to>
    <xdr:sp macro="" textlink="">
      <xdr:nvSpPr>
        <xdr:cNvPr id="6" name="TextBox 5">
          <a:extLst>
            <a:ext uri="{FF2B5EF4-FFF2-40B4-BE49-F238E27FC236}">
              <a16:creationId xmlns:a16="http://schemas.microsoft.com/office/drawing/2014/main" id="{23652ACC-6363-4A06-8305-B74BB7DC4FEB}"/>
            </a:ext>
          </a:extLst>
        </xdr:cNvPr>
        <xdr:cNvSpPr txBox="1"/>
      </xdr:nvSpPr>
      <xdr:spPr>
        <a:xfrm>
          <a:off x="7591425" y="16202024"/>
          <a:ext cx="2676525" cy="619126"/>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Hygiene</a:t>
          </a:r>
          <a:r>
            <a:rPr lang="en-US" sz="1100" baseline="0"/>
            <a:t> </a:t>
          </a:r>
          <a:r>
            <a:rPr lang="en-US" sz="1100" b="1" baseline="0"/>
            <a:t>c</a:t>
          </a:r>
          <a:r>
            <a:rPr lang="en-US" sz="1100" b="1"/>
            <a:t>ounterfactual</a:t>
          </a:r>
          <a:r>
            <a:rPr lang="en-US" sz="1100"/>
            <a:t> (minimum risk</a:t>
          </a:r>
          <a:r>
            <a:rPr lang="en-US" sz="1100" baseline="0"/>
            <a:t> level): practicing handwashing with soap after toilet use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19051</xdr:colOff>
      <xdr:row>66</xdr:row>
      <xdr:rowOff>9526</xdr:rowOff>
    </xdr:from>
    <xdr:to>
      <xdr:col>6</xdr:col>
      <xdr:colOff>733425</xdr:colOff>
      <xdr:row>70</xdr:row>
      <xdr:rowOff>123825</xdr:rowOff>
    </xdr:to>
    <xdr:sp macro="" textlink="">
      <xdr:nvSpPr>
        <xdr:cNvPr id="5" name="TextBox 4">
          <a:extLst>
            <a:ext uri="{FF2B5EF4-FFF2-40B4-BE49-F238E27FC236}">
              <a16:creationId xmlns:a16="http://schemas.microsoft.com/office/drawing/2014/main" id="{32E63CA0-3B96-4D64-96E5-A83795EB35F7}"/>
            </a:ext>
          </a:extLst>
        </xdr:cNvPr>
        <xdr:cNvSpPr txBox="1"/>
      </xdr:nvSpPr>
      <xdr:spPr>
        <a:xfrm>
          <a:off x="7781926" y="14439901"/>
          <a:ext cx="2695574" cy="942974"/>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Water</a:t>
          </a:r>
          <a:r>
            <a:rPr lang="en-US" sz="1100" b="1" baseline="0"/>
            <a:t> c</a:t>
          </a:r>
          <a:r>
            <a:rPr lang="en-US" sz="1100" b="1"/>
            <a:t>ounterfactual </a:t>
          </a:r>
          <a:r>
            <a:rPr lang="en-US" sz="1100"/>
            <a:t>(minimum risk</a:t>
          </a:r>
          <a:r>
            <a:rPr lang="en-US" sz="1100" baseline="0"/>
            <a:t> level): safely managed drinking-water / improved drinking-water on premises and of high water quality.</a:t>
          </a:r>
          <a:endParaRPr lang="en-US" sz="1100"/>
        </a:p>
      </xdr:txBody>
    </xdr:sp>
    <xdr:clientData/>
  </xdr:twoCellAnchor>
  <xdr:twoCellAnchor>
    <xdr:from>
      <xdr:col>4</xdr:col>
      <xdr:colOff>0</xdr:colOff>
      <xdr:row>76</xdr:row>
      <xdr:rowOff>0</xdr:rowOff>
    </xdr:from>
    <xdr:to>
      <xdr:col>6</xdr:col>
      <xdr:colOff>704850</xdr:colOff>
      <xdr:row>78</xdr:row>
      <xdr:rowOff>142875</xdr:rowOff>
    </xdr:to>
    <xdr:sp macro="" textlink="">
      <xdr:nvSpPr>
        <xdr:cNvPr id="6" name="TextBox 5">
          <a:extLst>
            <a:ext uri="{FF2B5EF4-FFF2-40B4-BE49-F238E27FC236}">
              <a16:creationId xmlns:a16="http://schemas.microsoft.com/office/drawing/2014/main" id="{74972C17-0947-4A71-8646-5E95D930ED24}"/>
            </a:ext>
          </a:extLst>
        </xdr:cNvPr>
        <xdr:cNvSpPr txBox="1"/>
      </xdr:nvSpPr>
      <xdr:spPr>
        <a:xfrm>
          <a:off x="7762875" y="16449675"/>
          <a:ext cx="2686050" cy="54292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Sanitation</a:t>
          </a:r>
          <a:r>
            <a:rPr lang="en-US" sz="1100" baseline="0"/>
            <a:t> </a:t>
          </a:r>
          <a:r>
            <a:rPr lang="en-US" sz="1100" b="1" baseline="0"/>
            <a:t>c</a:t>
          </a:r>
          <a:r>
            <a:rPr lang="en-US" sz="1100" b="1"/>
            <a:t>ounterfactual </a:t>
          </a:r>
          <a:r>
            <a:rPr lang="en-US" sz="1100"/>
            <a:t>(minimum risk</a:t>
          </a:r>
          <a:r>
            <a:rPr lang="en-US" sz="1100" baseline="0"/>
            <a:t> level): basic sanitation connected to sewer</a:t>
          </a:r>
          <a:endParaRPr lang="en-US" sz="1100"/>
        </a:p>
      </xdr:txBody>
    </xdr:sp>
    <xdr:clientData/>
  </xdr:twoCellAnchor>
  <xdr:twoCellAnchor>
    <xdr:from>
      <xdr:col>4</xdr:col>
      <xdr:colOff>0</xdr:colOff>
      <xdr:row>79</xdr:row>
      <xdr:rowOff>190499</xdr:rowOff>
    </xdr:from>
    <xdr:to>
      <xdr:col>6</xdr:col>
      <xdr:colOff>695325</xdr:colOff>
      <xdr:row>82</xdr:row>
      <xdr:rowOff>152400</xdr:rowOff>
    </xdr:to>
    <xdr:sp macro="" textlink="">
      <xdr:nvSpPr>
        <xdr:cNvPr id="7" name="TextBox 6">
          <a:extLst>
            <a:ext uri="{FF2B5EF4-FFF2-40B4-BE49-F238E27FC236}">
              <a16:creationId xmlns:a16="http://schemas.microsoft.com/office/drawing/2014/main" id="{080387E9-C670-4708-B9B8-E3EC506A17FA}"/>
            </a:ext>
          </a:extLst>
        </xdr:cNvPr>
        <xdr:cNvSpPr txBox="1"/>
      </xdr:nvSpPr>
      <xdr:spPr>
        <a:xfrm>
          <a:off x="7762875" y="17240249"/>
          <a:ext cx="2676525" cy="619126"/>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Hygiene</a:t>
          </a:r>
          <a:r>
            <a:rPr lang="en-US" sz="1100" baseline="0"/>
            <a:t> </a:t>
          </a:r>
          <a:r>
            <a:rPr lang="en-US" sz="1100" b="1" baseline="0"/>
            <a:t>c</a:t>
          </a:r>
          <a:r>
            <a:rPr lang="en-US" sz="1100" b="1"/>
            <a:t>ounterfactual</a:t>
          </a:r>
          <a:r>
            <a:rPr lang="en-US" sz="1100"/>
            <a:t> (minimum risk</a:t>
          </a:r>
          <a:r>
            <a:rPr lang="en-US" sz="1100" baseline="0"/>
            <a:t> level): practicing handwashing with soap after toilet use</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19051</xdr:colOff>
      <xdr:row>66</xdr:row>
      <xdr:rowOff>9526</xdr:rowOff>
    </xdr:from>
    <xdr:to>
      <xdr:col>6</xdr:col>
      <xdr:colOff>733425</xdr:colOff>
      <xdr:row>70</xdr:row>
      <xdr:rowOff>123825</xdr:rowOff>
    </xdr:to>
    <xdr:sp macro="" textlink="">
      <xdr:nvSpPr>
        <xdr:cNvPr id="2" name="TextBox 1">
          <a:extLst>
            <a:ext uri="{FF2B5EF4-FFF2-40B4-BE49-F238E27FC236}">
              <a16:creationId xmlns:a16="http://schemas.microsoft.com/office/drawing/2014/main" id="{BDDC00CD-133E-4F4E-B56C-E38DFFD6B28B}"/>
            </a:ext>
          </a:extLst>
        </xdr:cNvPr>
        <xdr:cNvSpPr txBox="1"/>
      </xdr:nvSpPr>
      <xdr:spPr>
        <a:xfrm>
          <a:off x="7791451" y="13792200"/>
          <a:ext cx="2695574" cy="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Water</a:t>
          </a:r>
          <a:r>
            <a:rPr lang="en-US" sz="1100" b="1" baseline="0"/>
            <a:t> c</a:t>
          </a:r>
          <a:r>
            <a:rPr lang="en-US" sz="1100" b="1"/>
            <a:t>ounterfactual </a:t>
          </a:r>
          <a:r>
            <a:rPr lang="en-US" sz="1100"/>
            <a:t>(minimum risk</a:t>
          </a:r>
          <a:r>
            <a:rPr lang="en-US" sz="1100" baseline="0"/>
            <a:t> level): safely managed drinking-water / improved drinking-water on premises of high water quality.</a:t>
          </a:r>
          <a:endParaRPr lang="en-US" sz="1100"/>
        </a:p>
      </xdr:txBody>
    </xdr:sp>
    <xdr:clientData/>
  </xdr:twoCellAnchor>
  <xdr:twoCellAnchor>
    <xdr:from>
      <xdr:col>4</xdr:col>
      <xdr:colOff>0</xdr:colOff>
      <xdr:row>76</xdr:row>
      <xdr:rowOff>0</xdr:rowOff>
    </xdr:from>
    <xdr:to>
      <xdr:col>6</xdr:col>
      <xdr:colOff>704850</xdr:colOff>
      <xdr:row>78</xdr:row>
      <xdr:rowOff>142875</xdr:rowOff>
    </xdr:to>
    <xdr:sp macro="" textlink="">
      <xdr:nvSpPr>
        <xdr:cNvPr id="3" name="TextBox 2">
          <a:extLst>
            <a:ext uri="{FF2B5EF4-FFF2-40B4-BE49-F238E27FC236}">
              <a16:creationId xmlns:a16="http://schemas.microsoft.com/office/drawing/2014/main" id="{620F996D-3B71-446B-A1E2-84FB5710444A}"/>
            </a:ext>
          </a:extLst>
        </xdr:cNvPr>
        <xdr:cNvSpPr txBox="1"/>
      </xdr:nvSpPr>
      <xdr:spPr>
        <a:xfrm>
          <a:off x="7772400" y="13792200"/>
          <a:ext cx="2686050" cy="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Sanitation</a:t>
          </a:r>
          <a:r>
            <a:rPr lang="en-US" sz="1100" baseline="0"/>
            <a:t> </a:t>
          </a:r>
          <a:r>
            <a:rPr lang="en-US" sz="1100" b="1" baseline="0"/>
            <a:t>c</a:t>
          </a:r>
          <a:r>
            <a:rPr lang="en-US" sz="1100" b="1"/>
            <a:t>ounterfactual </a:t>
          </a:r>
          <a:r>
            <a:rPr lang="en-US" sz="1100"/>
            <a:t>(minimum risk</a:t>
          </a:r>
          <a:r>
            <a:rPr lang="en-US" sz="1100" baseline="0"/>
            <a:t> level): basic sanitation connected to sewer</a:t>
          </a:r>
          <a:endParaRPr lang="en-US" sz="1100"/>
        </a:p>
      </xdr:txBody>
    </xdr:sp>
    <xdr:clientData/>
  </xdr:twoCellAnchor>
  <xdr:twoCellAnchor>
    <xdr:from>
      <xdr:col>4</xdr:col>
      <xdr:colOff>0</xdr:colOff>
      <xdr:row>79</xdr:row>
      <xdr:rowOff>190499</xdr:rowOff>
    </xdr:from>
    <xdr:to>
      <xdr:col>6</xdr:col>
      <xdr:colOff>695325</xdr:colOff>
      <xdr:row>82</xdr:row>
      <xdr:rowOff>152400</xdr:rowOff>
    </xdr:to>
    <xdr:sp macro="" textlink="">
      <xdr:nvSpPr>
        <xdr:cNvPr id="4" name="TextBox 3">
          <a:extLst>
            <a:ext uri="{FF2B5EF4-FFF2-40B4-BE49-F238E27FC236}">
              <a16:creationId xmlns:a16="http://schemas.microsoft.com/office/drawing/2014/main" id="{3FF485D1-D37F-471B-A0BF-2F7995735B47}"/>
            </a:ext>
          </a:extLst>
        </xdr:cNvPr>
        <xdr:cNvSpPr txBox="1"/>
      </xdr:nvSpPr>
      <xdr:spPr>
        <a:xfrm>
          <a:off x="7772400" y="13792200"/>
          <a:ext cx="2676525" cy="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Hygiene</a:t>
          </a:r>
          <a:r>
            <a:rPr lang="en-US" sz="1100" baseline="0"/>
            <a:t> </a:t>
          </a:r>
          <a:r>
            <a:rPr lang="en-US" sz="1100" b="1" baseline="0"/>
            <a:t>c</a:t>
          </a:r>
          <a:r>
            <a:rPr lang="en-US" sz="1100" b="1"/>
            <a:t>ounterfactual</a:t>
          </a:r>
          <a:r>
            <a:rPr lang="en-US" sz="1100"/>
            <a:t> (minimum risk</a:t>
          </a:r>
          <a:r>
            <a:rPr lang="en-US" sz="1100" baseline="0"/>
            <a:t> level): practicing handwashing with soap after toilet use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i.org/10.1111/tmi.12329" TargetMode="External"/><Relationship Id="rId13" Type="http://schemas.openxmlformats.org/officeDocument/2006/relationships/hyperlink" Target="https://www.thelancet.com/journals/lancet/article/PIIS0140-6736(23)00021-1/fulltext" TargetMode="External"/><Relationship Id="rId3" Type="http://schemas.openxmlformats.org/officeDocument/2006/relationships/hyperlink" Target="https://doi.org/10.1093/ije/dyy253" TargetMode="External"/><Relationship Id="rId7" Type="http://schemas.openxmlformats.org/officeDocument/2006/relationships/hyperlink" Target="https://population.un.org/wpp/" TargetMode="External"/><Relationship Id="rId12" Type="http://schemas.openxmlformats.org/officeDocument/2006/relationships/hyperlink" Target="https://doi.org/10.1016/S0140-6736(23)00458-0" TargetMode="External"/><Relationship Id="rId2" Type="http://schemas.openxmlformats.org/officeDocument/2006/relationships/hyperlink" Target="https://washdata.org/data/country/WLD/household/download" TargetMode="External"/><Relationship Id="rId1" Type="http://schemas.openxmlformats.org/officeDocument/2006/relationships/hyperlink" Target="https://washdata.org/data/country/WLD/household/download" TargetMode="External"/><Relationship Id="rId6" Type="http://schemas.openxmlformats.org/officeDocument/2006/relationships/hyperlink" Target="https://doi.org/10.1016/S0140-6736(22)00937-0" TargetMode="External"/><Relationship Id="rId11" Type="http://schemas.openxmlformats.org/officeDocument/2006/relationships/hyperlink" Target="https://doi.org/10.1016/S0140-6736(02)11403-6" TargetMode="External"/><Relationship Id="rId5" Type="http://schemas.openxmlformats.org/officeDocument/2006/relationships/hyperlink" Target="https://cdn.who.int/media/docs/default-source/gho-documents/global-health-estimates/ghe2019_dalys-2019-country.xlsx?sfvrsn=53cfeff9_3" TargetMode="External"/><Relationship Id="rId15" Type="http://schemas.openxmlformats.org/officeDocument/2006/relationships/drawing" Target="../drawings/drawing1.xml"/><Relationship Id="rId10" Type="http://schemas.openxmlformats.org/officeDocument/2006/relationships/hyperlink" Target="https://unstats.un.org/sdgs/metadata/files/Metadata-03-09-02.pdf" TargetMode="External"/><Relationship Id="rId4" Type="http://schemas.openxmlformats.org/officeDocument/2006/relationships/hyperlink" Target="https://cdn.who.int/media/docs/default-source/gho-documents/global-health-estimates/ghe2019_deaths-2019-country0ebf9692-5857-4077-8161-7b72c3e4599b_497e8fe7-bd5d-4de8-b039-fe71139618ed.xlsx?sfvrsn=1c8a2543_7" TargetMode="External"/><Relationship Id="rId9" Type="http://schemas.openxmlformats.org/officeDocument/2006/relationships/hyperlink" Target="https://doi.org/10.1016/j.ijheh.2019.05.004"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E7C3E-C681-40B0-BA8E-9C952DAE6D28}">
  <sheetPr>
    <tabColor theme="4" tint="0.79998168889431442"/>
  </sheetPr>
  <dimension ref="A1:AG117"/>
  <sheetViews>
    <sheetView topLeftCell="A36" zoomScale="79" zoomScaleNormal="79" workbookViewId="0">
      <selection activeCell="AH15" sqref="AH15"/>
    </sheetView>
  </sheetViews>
  <sheetFormatPr defaultColWidth="8.85546875" defaultRowHeight="15"/>
  <cols>
    <col min="1" max="1" width="1.85546875" customWidth="1"/>
    <col min="2" max="2" width="2.85546875" customWidth="1"/>
    <col min="14" max="14" width="13.42578125" customWidth="1"/>
    <col min="16" max="16" width="8.28515625" customWidth="1"/>
    <col min="17" max="17" width="9.140625"/>
    <col min="18" max="18" width="1.7109375" customWidth="1"/>
    <col min="19" max="27" width="9.140625"/>
    <col min="28" max="28" width="9.140625" customWidth="1"/>
    <col min="29" max="29" width="9.140625"/>
  </cols>
  <sheetData>
    <row r="1" spans="1:33" ht="22.5" customHeight="1">
      <c r="A1" s="298"/>
      <c r="B1" s="129"/>
      <c r="C1" s="129"/>
      <c r="D1" s="129"/>
      <c r="E1" s="129"/>
      <c r="F1" s="129"/>
      <c r="G1" s="129"/>
      <c r="H1" s="129"/>
      <c r="I1" s="129"/>
      <c r="J1" s="129"/>
      <c r="K1" s="129"/>
      <c r="L1" s="129"/>
      <c r="M1" s="129"/>
      <c r="N1" s="129"/>
      <c r="O1" s="129"/>
      <c r="P1" s="129"/>
      <c r="R1" s="298"/>
      <c r="S1" s="298"/>
      <c r="T1" s="298"/>
      <c r="U1" s="298"/>
      <c r="V1" s="298"/>
      <c r="W1" s="298"/>
      <c r="X1" s="298"/>
      <c r="Y1" s="298"/>
      <c r="Z1" s="298"/>
      <c r="AA1" s="298"/>
      <c r="AB1" s="298"/>
      <c r="AC1" s="298"/>
      <c r="AD1" s="298"/>
      <c r="AE1" s="298"/>
      <c r="AF1" s="298"/>
      <c r="AG1" s="298"/>
    </row>
    <row r="2" spans="1:33" ht="12.75" customHeight="1">
      <c r="A2" s="298"/>
      <c r="B2" s="129"/>
      <c r="C2" s="129"/>
      <c r="D2" s="129"/>
      <c r="E2" s="129"/>
      <c r="F2" s="129"/>
      <c r="G2" s="129"/>
      <c r="H2" s="129"/>
      <c r="I2" s="129"/>
      <c r="J2" s="129"/>
      <c r="K2" s="129"/>
      <c r="L2" s="129"/>
      <c r="M2" s="129"/>
      <c r="N2" s="129"/>
      <c r="O2" s="129"/>
      <c r="P2" s="129"/>
      <c r="R2" s="298"/>
      <c r="S2" s="298"/>
      <c r="T2" s="298"/>
      <c r="U2" s="298"/>
      <c r="V2" s="298"/>
      <c r="W2" s="298"/>
      <c r="X2" s="298"/>
      <c r="Y2" s="298"/>
      <c r="Z2" s="298"/>
      <c r="AA2" s="298"/>
      <c r="AB2" s="298"/>
      <c r="AC2" s="298"/>
      <c r="AD2" s="298"/>
      <c r="AE2" s="298"/>
      <c r="AF2" s="298"/>
      <c r="AG2" s="298"/>
    </row>
    <row r="3" spans="1:33" ht="20.25" customHeight="1">
      <c r="A3" s="298"/>
      <c r="B3" s="129"/>
      <c r="C3" s="129"/>
      <c r="D3" s="129"/>
      <c r="E3" s="129"/>
      <c r="F3" s="129"/>
      <c r="G3" s="129"/>
      <c r="H3" s="129"/>
      <c r="I3" s="129"/>
      <c r="J3" s="129"/>
      <c r="K3" s="129"/>
      <c r="L3" s="129"/>
      <c r="M3" s="129"/>
      <c r="N3" s="129"/>
      <c r="O3" s="129"/>
      <c r="P3" s="129"/>
      <c r="R3" s="298"/>
      <c r="S3" s="298"/>
      <c r="T3" s="298"/>
      <c r="U3" s="298"/>
      <c r="V3" s="298"/>
      <c r="W3" s="298"/>
      <c r="X3" s="298"/>
      <c r="Y3" s="298"/>
      <c r="Z3" s="298"/>
      <c r="AA3" s="298"/>
      <c r="AB3" s="298"/>
      <c r="AC3" s="298"/>
      <c r="AD3" s="298"/>
      <c r="AE3" s="298"/>
      <c r="AF3" s="298"/>
      <c r="AG3" s="298"/>
    </row>
    <row r="4" spans="1:33">
      <c r="A4" s="298"/>
      <c r="B4" s="129"/>
      <c r="C4" s="129"/>
      <c r="D4" s="129"/>
      <c r="E4" s="129"/>
      <c r="F4" s="129"/>
      <c r="G4" s="129"/>
      <c r="H4" s="129"/>
      <c r="I4" s="129"/>
      <c r="J4" s="129"/>
      <c r="K4" s="129"/>
      <c r="L4" s="129"/>
      <c r="M4" s="129"/>
      <c r="N4" s="129"/>
      <c r="O4" s="129"/>
      <c r="P4" s="129"/>
      <c r="Q4" s="129"/>
      <c r="R4" s="298"/>
      <c r="S4" s="298"/>
      <c r="T4" s="298"/>
      <c r="U4" s="298"/>
      <c r="V4" s="298"/>
      <c r="W4" s="298"/>
      <c r="X4" s="298"/>
      <c r="Y4" s="298"/>
      <c r="Z4" s="298"/>
      <c r="AA4" s="298"/>
      <c r="AB4" s="298"/>
      <c r="AC4" s="298"/>
      <c r="AD4" s="298"/>
      <c r="AE4" s="298"/>
      <c r="AF4" s="298"/>
      <c r="AG4" s="298"/>
    </row>
    <row r="5" spans="1:33">
      <c r="A5" s="298"/>
      <c r="B5" s="129"/>
      <c r="C5" s="129"/>
      <c r="D5" s="129"/>
      <c r="E5" s="129"/>
      <c r="F5" s="129"/>
      <c r="G5" s="129"/>
      <c r="H5" s="129"/>
      <c r="I5" s="129"/>
      <c r="J5" s="129"/>
      <c r="K5" s="129"/>
      <c r="L5" s="129"/>
      <c r="M5" s="129"/>
      <c r="N5" s="129"/>
      <c r="O5" s="129"/>
      <c r="P5" s="129"/>
      <c r="Q5" s="129"/>
      <c r="R5" s="298"/>
      <c r="S5" s="298"/>
      <c r="T5" s="298"/>
      <c r="U5" s="298"/>
      <c r="V5" s="298"/>
      <c r="W5" s="298"/>
      <c r="X5" s="298"/>
      <c r="Y5" s="298"/>
      <c r="Z5" s="298"/>
      <c r="AA5" s="298"/>
      <c r="AB5" s="298"/>
      <c r="AC5" s="298"/>
      <c r="AD5" s="298"/>
      <c r="AE5" s="298"/>
      <c r="AF5" s="298"/>
      <c r="AG5" s="298"/>
    </row>
    <row r="6" spans="1:33">
      <c r="A6" s="298"/>
      <c r="B6" s="129"/>
      <c r="C6" s="129"/>
      <c r="D6" s="129"/>
      <c r="E6" s="129"/>
      <c r="F6" s="129"/>
      <c r="G6" s="129"/>
      <c r="H6" s="129"/>
      <c r="I6" s="129"/>
      <c r="J6" s="129"/>
      <c r="K6" s="129"/>
      <c r="L6" s="129"/>
      <c r="M6" s="129"/>
      <c r="N6" s="129"/>
      <c r="O6" s="129"/>
      <c r="P6" s="129"/>
      <c r="Q6" s="129"/>
      <c r="R6" s="298"/>
      <c r="S6" s="298"/>
      <c r="T6" s="298"/>
      <c r="U6" s="298"/>
      <c r="V6" s="298"/>
      <c r="W6" s="298"/>
      <c r="X6" s="298"/>
      <c r="Y6" s="298"/>
      <c r="Z6" s="298"/>
      <c r="AA6" s="298"/>
      <c r="AB6" s="298"/>
      <c r="AC6" s="298"/>
      <c r="AD6" s="298"/>
      <c r="AE6" s="298"/>
      <c r="AF6" s="298"/>
      <c r="AG6" s="298"/>
    </row>
    <row r="7" spans="1:33">
      <c r="A7" s="298"/>
      <c r="B7" s="129"/>
      <c r="C7" s="129"/>
      <c r="D7" s="129"/>
      <c r="E7" s="129"/>
      <c r="F7" s="129"/>
      <c r="G7" s="129"/>
      <c r="H7" s="129"/>
      <c r="I7" s="129"/>
      <c r="J7" s="129"/>
      <c r="K7" s="129"/>
      <c r="L7" s="129"/>
      <c r="M7" s="129"/>
      <c r="N7" s="129"/>
      <c r="O7" s="129"/>
      <c r="P7" s="129"/>
      <c r="Q7" s="129"/>
      <c r="R7" s="298"/>
      <c r="S7" s="298"/>
      <c r="T7" s="298"/>
      <c r="U7" s="298"/>
      <c r="V7" s="298"/>
      <c r="W7" s="298"/>
      <c r="X7" s="298"/>
      <c r="Y7" s="298"/>
      <c r="Z7" s="298"/>
      <c r="AA7" s="298"/>
      <c r="AB7" s="298"/>
      <c r="AC7" s="298"/>
      <c r="AD7" s="298"/>
      <c r="AE7" s="298"/>
      <c r="AF7" s="298"/>
      <c r="AG7" s="298"/>
    </row>
    <row r="8" spans="1:33">
      <c r="A8" s="298"/>
      <c r="B8" s="129"/>
      <c r="C8" s="129"/>
      <c r="D8" s="129"/>
      <c r="E8" s="129"/>
      <c r="F8" s="129"/>
      <c r="G8" s="129"/>
      <c r="H8" s="129"/>
      <c r="I8" s="129"/>
      <c r="J8" s="129"/>
      <c r="K8" s="129"/>
      <c r="L8" s="129"/>
      <c r="M8" s="129"/>
      <c r="N8" s="129"/>
      <c r="O8" s="129"/>
      <c r="P8" s="129"/>
      <c r="Q8" s="129"/>
      <c r="R8" s="298"/>
      <c r="S8" s="298"/>
      <c r="T8" s="298"/>
      <c r="U8" s="298"/>
      <c r="V8" s="298"/>
      <c r="W8" s="298"/>
      <c r="X8" s="298"/>
      <c r="Y8" s="298"/>
      <c r="Z8" s="298"/>
      <c r="AA8" s="298"/>
      <c r="AB8" s="298"/>
      <c r="AC8" s="298"/>
      <c r="AD8" s="298"/>
      <c r="AE8" s="298"/>
      <c r="AF8" s="298"/>
      <c r="AG8" s="298"/>
    </row>
    <row r="9" spans="1:33">
      <c r="A9" s="298"/>
      <c r="B9" s="129"/>
      <c r="C9" s="129"/>
      <c r="D9" s="129"/>
      <c r="E9" s="129"/>
      <c r="F9" s="129"/>
      <c r="G9" s="129"/>
      <c r="H9" s="129"/>
      <c r="I9" s="129"/>
      <c r="J9" s="129"/>
      <c r="K9" s="129"/>
      <c r="L9" s="129"/>
      <c r="M9" s="129"/>
      <c r="N9" s="129"/>
      <c r="O9" s="129"/>
      <c r="P9" s="129"/>
      <c r="Q9" s="129"/>
      <c r="R9" s="298"/>
      <c r="S9" s="298"/>
      <c r="T9" s="298"/>
      <c r="U9" s="298"/>
      <c r="V9" s="298"/>
      <c r="W9" s="298"/>
      <c r="X9" s="298"/>
      <c r="Y9" s="298"/>
      <c r="Z9" s="298"/>
      <c r="AA9" s="298"/>
      <c r="AB9" s="298"/>
      <c r="AC9" s="298"/>
      <c r="AD9" s="298"/>
      <c r="AE9" s="298"/>
      <c r="AF9" s="298"/>
      <c r="AG9" s="298"/>
    </row>
    <row r="10" spans="1:33">
      <c r="A10" s="298"/>
      <c r="B10" s="129"/>
      <c r="C10" s="129"/>
      <c r="D10" s="129"/>
      <c r="E10" s="129"/>
      <c r="F10" s="129"/>
      <c r="G10" s="129"/>
      <c r="H10" s="129"/>
      <c r="I10" s="129"/>
      <c r="J10" s="129"/>
      <c r="K10" s="129"/>
      <c r="L10" s="129"/>
      <c r="M10" s="129"/>
      <c r="N10" s="129"/>
      <c r="O10" s="129"/>
      <c r="P10" s="129"/>
      <c r="Q10" s="129"/>
      <c r="R10" s="298"/>
      <c r="S10" s="298"/>
      <c r="T10" s="298"/>
      <c r="U10" s="298"/>
      <c r="V10" s="298"/>
      <c r="W10" s="298"/>
      <c r="X10" s="298"/>
      <c r="Y10" s="298"/>
      <c r="Z10" s="298"/>
      <c r="AA10" s="298"/>
      <c r="AB10" s="298"/>
      <c r="AC10" s="298"/>
      <c r="AD10" s="298"/>
      <c r="AE10" s="298"/>
      <c r="AF10" s="298"/>
      <c r="AG10" s="298"/>
    </row>
    <row r="11" spans="1:33">
      <c r="A11" s="298"/>
      <c r="B11" s="129"/>
      <c r="C11" s="129"/>
      <c r="D11" s="129"/>
      <c r="E11" s="129"/>
      <c r="F11" s="129"/>
      <c r="G11" s="129"/>
      <c r="H11" s="129"/>
      <c r="I11" s="129"/>
      <c r="J11" s="129"/>
      <c r="K11" s="129"/>
      <c r="L11" s="129"/>
      <c r="M11" s="129"/>
      <c r="N11" s="129"/>
      <c r="O11" s="129"/>
      <c r="P11" s="129"/>
      <c r="Q11" s="129"/>
      <c r="R11" s="298"/>
      <c r="S11" s="298"/>
      <c r="T11" s="298"/>
      <c r="U11" s="298"/>
      <c r="V11" s="298"/>
      <c r="W11" s="298"/>
      <c r="X11" s="298"/>
      <c r="Y11" s="298"/>
      <c r="Z11" s="298"/>
      <c r="AA11" s="298"/>
      <c r="AB11" s="298"/>
      <c r="AC11" s="298"/>
      <c r="AD11" s="298"/>
      <c r="AE11" s="298"/>
      <c r="AF11" s="298"/>
      <c r="AG11" s="298"/>
    </row>
    <row r="12" spans="1:33">
      <c r="A12" s="298"/>
      <c r="B12" s="129"/>
      <c r="C12" s="129"/>
      <c r="D12" s="129"/>
      <c r="E12" s="129"/>
      <c r="F12" s="129"/>
      <c r="G12" s="129"/>
      <c r="H12" s="129"/>
      <c r="I12" s="129"/>
      <c r="J12" s="129"/>
      <c r="K12" s="129"/>
      <c r="L12" s="129"/>
      <c r="M12" s="129"/>
      <c r="N12" s="129"/>
      <c r="O12" s="129"/>
      <c r="P12" s="129"/>
      <c r="Q12" s="129"/>
      <c r="R12" s="298"/>
      <c r="S12" s="298"/>
      <c r="T12" s="298"/>
      <c r="U12" s="298"/>
      <c r="V12" s="298"/>
      <c r="W12" s="298"/>
      <c r="X12" s="298"/>
      <c r="Y12" s="298"/>
      <c r="Z12" s="298"/>
      <c r="AA12" s="298"/>
      <c r="AB12" s="298"/>
      <c r="AC12" s="298"/>
      <c r="AD12" s="298"/>
      <c r="AE12" s="298"/>
      <c r="AF12" s="298"/>
      <c r="AG12" s="298"/>
    </row>
    <row r="13" spans="1:33">
      <c r="A13" s="298"/>
      <c r="B13" s="129"/>
      <c r="C13" s="129"/>
      <c r="D13" s="129"/>
      <c r="E13" s="129"/>
      <c r="F13" s="129"/>
      <c r="G13" s="129"/>
      <c r="H13" s="129"/>
      <c r="I13" s="129"/>
      <c r="J13" s="129"/>
      <c r="K13" s="129"/>
      <c r="L13" s="129"/>
      <c r="M13" s="129"/>
      <c r="N13" s="129"/>
      <c r="O13" s="129"/>
      <c r="P13" s="129"/>
      <c r="Q13" s="129"/>
      <c r="R13" s="298"/>
      <c r="S13" s="298"/>
      <c r="T13" s="298"/>
      <c r="U13" s="298"/>
      <c r="V13" s="298"/>
      <c r="W13" s="298"/>
      <c r="X13" s="298"/>
      <c r="Y13" s="298"/>
      <c r="Z13" s="298"/>
      <c r="AA13" s="298"/>
      <c r="AB13" s="298"/>
      <c r="AC13" s="298"/>
      <c r="AD13" s="298"/>
      <c r="AE13" s="298"/>
      <c r="AF13" s="298"/>
      <c r="AG13" s="298"/>
    </row>
    <row r="14" spans="1:33">
      <c r="A14" s="298"/>
      <c r="B14" s="129"/>
      <c r="C14" s="129"/>
      <c r="D14" s="129"/>
      <c r="E14" s="129"/>
      <c r="F14" s="129"/>
      <c r="G14" s="129"/>
      <c r="H14" s="129"/>
      <c r="I14" s="129"/>
      <c r="J14" s="129"/>
      <c r="K14" s="129"/>
      <c r="L14" s="129"/>
      <c r="M14" s="129"/>
      <c r="N14" s="129"/>
      <c r="O14" s="129"/>
      <c r="P14" s="129"/>
      <c r="Q14" s="129"/>
      <c r="R14" s="298"/>
      <c r="S14" s="298"/>
      <c r="T14" s="298"/>
      <c r="U14" s="298"/>
      <c r="V14" s="298"/>
      <c r="W14" s="298"/>
      <c r="X14" s="298"/>
      <c r="Y14" s="298"/>
      <c r="Z14" s="298"/>
      <c r="AA14" s="298"/>
      <c r="AB14" s="298"/>
      <c r="AC14" s="298"/>
      <c r="AD14" s="298"/>
      <c r="AE14" s="298"/>
      <c r="AF14" s="298"/>
      <c r="AG14" s="298"/>
    </row>
    <row r="15" spans="1:33">
      <c r="A15" s="298"/>
      <c r="B15" s="129"/>
      <c r="C15" s="129"/>
      <c r="D15" s="129"/>
      <c r="E15" s="129"/>
      <c r="F15" s="129"/>
      <c r="G15" s="129"/>
      <c r="H15" s="129"/>
      <c r="I15" s="129"/>
      <c r="J15" s="129"/>
      <c r="K15" s="129"/>
      <c r="L15" s="129"/>
      <c r="M15" s="129"/>
      <c r="N15" s="129"/>
      <c r="O15" s="129"/>
      <c r="P15" s="129"/>
      <c r="Q15" s="129"/>
      <c r="R15" s="298"/>
      <c r="S15" s="298"/>
      <c r="T15" s="298"/>
      <c r="U15" s="298"/>
      <c r="V15" s="298"/>
      <c r="W15" s="298"/>
      <c r="X15" s="298"/>
      <c r="Y15" s="298"/>
      <c r="Z15" s="298"/>
      <c r="AA15" s="298"/>
      <c r="AB15" s="298"/>
      <c r="AC15" s="298"/>
      <c r="AD15" s="298"/>
      <c r="AE15" s="298"/>
      <c r="AF15" s="298"/>
      <c r="AG15" s="298"/>
    </row>
    <row r="16" spans="1:33">
      <c r="A16" s="298"/>
      <c r="B16" s="129"/>
      <c r="C16" s="129"/>
      <c r="D16" s="129"/>
      <c r="E16" s="129"/>
      <c r="F16" s="129"/>
      <c r="G16" s="129"/>
      <c r="H16" s="129"/>
      <c r="I16" s="129"/>
      <c r="J16" s="129"/>
      <c r="K16" s="129"/>
      <c r="L16" s="129"/>
      <c r="M16" s="129"/>
      <c r="N16" s="129"/>
      <c r="O16" s="129"/>
      <c r="P16" s="129"/>
      <c r="Q16" s="129"/>
      <c r="R16" s="298"/>
      <c r="S16" s="298"/>
      <c r="T16" s="298"/>
      <c r="U16" s="298"/>
      <c r="V16" s="298"/>
      <c r="W16" s="298"/>
      <c r="X16" s="298"/>
      <c r="Y16" s="298"/>
      <c r="Z16" s="298"/>
      <c r="AA16" s="298"/>
      <c r="AB16" s="298"/>
      <c r="AC16" s="298"/>
      <c r="AD16" s="298"/>
      <c r="AE16" s="298"/>
      <c r="AF16" s="298"/>
      <c r="AG16" s="298"/>
    </row>
    <row r="17" spans="1:33">
      <c r="A17" s="298"/>
      <c r="B17" s="129"/>
      <c r="C17" s="129"/>
      <c r="D17" s="129"/>
      <c r="E17" s="129"/>
      <c r="F17" s="129"/>
      <c r="G17" s="129"/>
      <c r="H17" s="129"/>
      <c r="I17" s="129"/>
      <c r="J17" s="129"/>
      <c r="K17" s="129"/>
      <c r="L17" s="129"/>
      <c r="M17" s="129"/>
      <c r="N17" s="129"/>
      <c r="O17" s="129"/>
      <c r="P17" s="129"/>
      <c r="Q17" s="129"/>
      <c r="R17" s="298"/>
      <c r="S17" s="298"/>
      <c r="T17" s="298"/>
      <c r="U17" s="298"/>
      <c r="V17" s="298"/>
      <c r="W17" s="298"/>
      <c r="X17" s="298"/>
      <c r="Y17" s="298"/>
      <c r="Z17" s="298"/>
      <c r="AA17" s="298"/>
      <c r="AB17" s="298"/>
      <c r="AC17" s="298"/>
      <c r="AD17" s="298"/>
      <c r="AE17" s="298"/>
      <c r="AF17" s="298"/>
      <c r="AG17" s="298"/>
    </row>
    <row r="18" spans="1:33">
      <c r="A18" s="298"/>
      <c r="B18" s="129"/>
      <c r="C18" s="129"/>
      <c r="D18" s="129"/>
      <c r="E18" s="129"/>
      <c r="F18" s="129"/>
      <c r="G18" s="129"/>
      <c r="H18" s="129"/>
      <c r="I18" s="129"/>
      <c r="J18" s="129"/>
      <c r="K18" s="129"/>
      <c r="L18" s="129"/>
      <c r="M18" s="129"/>
      <c r="N18" s="129"/>
      <c r="O18" s="129"/>
      <c r="P18" s="129"/>
      <c r="Q18" s="129"/>
      <c r="R18" s="298"/>
      <c r="S18" s="298"/>
      <c r="T18" s="298"/>
      <c r="U18" s="298"/>
      <c r="V18" s="298"/>
      <c r="W18" s="298"/>
      <c r="X18" s="298"/>
      <c r="Y18" s="298"/>
      <c r="Z18" s="298"/>
      <c r="AA18" s="298"/>
      <c r="AB18" s="298"/>
      <c r="AC18" s="298"/>
      <c r="AD18" s="298"/>
      <c r="AE18" s="298"/>
      <c r="AF18" s="298"/>
      <c r="AG18" s="298"/>
    </row>
    <row r="19" spans="1:33">
      <c r="A19" s="298"/>
      <c r="B19" s="129"/>
      <c r="C19" s="129"/>
      <c r="D19" s="129"/>
      <c r="E19" s="129"/>
      <c r="F19" s="129"/>
      <c r="G19" s="129"/>
      <c r="H19" s="129"/>
      <c r="I19" s="129"/>
      <c r="J19" s="129"/>
      <c r="K19" s="129"/>
      <c r="L19" s="129"/>
      <c r="M19" s="129"/>
      <c r="N19" s="129"/>
      <c r="O19" s="129"/>
      <c r="P19" s="129"/>
      <c r="Q19" s="129"/>
      <c r="R19" s="298"/>
      <c r="S19" s="298"/>
      <c r="T19" s="298"/>
      <c r="U19" s="298"/>
      <c r="V19" s="298"/>
      <c r="W19" s="298"/>
      <c r="X19" s="298"/>
      <c r="Y19" s="298"/>
      <c r="Z19" s="298"/>
      <c r="AA19" s="298"/>
      <c r="AB19" s="298"/>
      <c r="AC19" s="298"/>
      <c r="AD19" s="298"/>
      <c r="AE19" s="298"/>
      <c r="AF19" s="298"/>
      <c r="AG19" s="298"/>
    </row>
    <row r="20" spans="1:33">
      <c r="A20" s="298"/>
      <c r="B20" s="129"/>
      <c r="C20" s="129"/>
      <c r="D20" s="129"/>
      <c r="E20" s="129"/>
      <c r="F20" s="129"/>
      <c r="G20" s="129"/>
      <c r="H20" s="129"/>
      <c r="I20" s="129"/>
      <c r="J20" s="129"/>
      <c r="K20" s="129"/>
      <c r="L20" s="129"/>
      <c r="M20" s="129"/>
      <c r="N20" s="129"/>
      <c r="O20" s="129"/>
      <c r="P20" s="129"/>
      <c r="Q20" s="129"/>
      <c r="R20" s="298"/>
      <c r="S20" s="298"/>
      <c r="T20" s="298"/>
      <c r="U20" s="298"/>
      <c r="V20" s="298"/>
      <c r="W20" s="298"/>
      <c r="X20" s="298"/>
      <c r="Y20" s="298"/>
      <c r="Z20" s="298"/>
      <c r="AA20" s="298"/>
      <c r="AB20" s="298"/>
      <c r="AC20" s="298"/>
      <c r="AD20" s="298"/>
      <c r="AE20" s="298"/>
      <c r="AF20" s="298"/>
      <c r="AG20" s="298"/>
    </row>
    <row r="21" spans="1:33">
      <c r="A21" s="298"/>
      <c r="B21" s="129"/>
      <c r="C21" s="129"/>
      <c r="D21" s="129"/>
      <c r="E21" s="129"/>
      <c r="F21" s="129"/>
      <c r="G21" s="129"/>
      <c r="H21" s="129"/>
      <c r="I21" s="129"/>
      <c r="J21" s="129"/>
      <c r="K21" s="129"/>
      <c r="L21" s="129"/>
      <c r="M21" s="129"/>
      <c r="N21" s="129"/>
      <c r="O21" s="129"/>
      <c r="P21" s="129"/>
      <c r="Q21" s="129"/>
      <c r="R21" s="298"/>
      <c r="S21" s="298"/>
      <c r="T21" s="298"/>
      <c r="U21" s="298"/>
      <c r="V21" s="298"/>
      <c r="W21" s="298"/>
      <c r="X21" s="298"/>
      <c r="Y21" s="298"/>
      <c r="Z21" s="298"/>
      <c r="AA21" s="298"/>
      <c r="AB21" s="298"/>
      <c r="AC21" s="298"/>
      <c r="AD21" s="298"/>
      <c r="AE21" s="298"/>
      <c r="AF21" s="298"/>
      <c r="AG21" s="298"/>
    </row>
    <row r="22" spans="1:33">
      <c r="A22" s="298"/>
      <c r="B22" s="129"/>
      <c r="C22" s="129"/>
      <c r="D22" s="129"/>
      <c r="E22" s="129"/>
      <c r="F22" s="129"/>
      <c r="G22" s="129"/>
      <c r="H22" s="129"/>
      <c r="I22" s="129"/>
      <c r="J22" s="129"/>
      <c r="K22" s="129"/>
      <c r="L22" s="129"/>
      <c r="M22" s="129"/>
      <c r="N22" s="129"/>
      <c r="O22" s="129"/>
      <c r="P22" s="129"/>
      <c r="Q22" s="129"/>
      <c r="R22" s="298"/>
      <c r="S22" s="298"/>
      <c r="T22" s="298"/>
      <c r="U22" s="298"/>
      <c r="V22" s="298"/>
      <c r="W22" s="298"/>
      <c r="X22" s="298"/>
      <c r="Y22" s="298"/>
      <c r="Z22" s="298"/>
      <c r="AA22" s="298"/>
      <c r="AB22" s="298"/>
      <c r="AC22" s="298"/>
      <c r="AD22" s="298"/>
      <c r="AE22" s="298"/>
      <c r="AF22" s="298"/>
      <c r="AG22" s="298"/>
    </row>
    <row r="23" spans="1:33">
      <c r="A23" s="298"/>
      <c r="B23" s="129"/>
      <c r="C23" s="129"/>
      <c r="D23" s="129"/>
      <c r="E23" s="129"/>
      <c r="F23" s="129"/>
      <c r="G23" s="129"/>
      <c r="H23" s="129"/>
      <c r="I23" s="129"/>
      <c r="J23" s="129"/>
      <c r="K23" s="129"/>
      <c r="L23" s="129"/>
      <c r="M23" s="129"/>
      <c r="N23" s="129"/>
      <c r="O23" s="129"/>
      <c r="P23" s="129"/>
      <c r="Q23" s="129"/>
      <c r="R23" s="298"/>
      <c r="S23" s="298"/>
      <c r="T23" s="298"/>
      <c r="U23" s="298"/>
      <c r="V23" s="298"/>
      <c r="W23" s="298"/>
      <c r="X23" s="298"/>
      <c r="Y23" s="298"/>
      <c r="Z23" s="298"/>
      <c r="AA23" s="298"/>
      <c r="AB23" s="298"/>
      <c r="AC23" s="298"/>
      <c r="AD23" s="298"/>
      <c r="AE23" s="298"/>
      <c r="AF23" s="298"/>
      <c r="AG23" s="298"/>
    </row>
    <row r="24" spans="1:33">
      <c r="A24" s="298"/>
      <c r="B24" s="129"/>
      <c r="C24" s="129"/>
      <c r="D24" s="129"/>
      <c r="E24" s="129"/>
      <c r="F24" s="129"/>
      <c r="G24" s="129"/>
      <c r="H24" s="129"/>
      <c r="I24" s="129"/>
      <c r="J24" s="129"/>
      <c r="K24" s="129"/>
      <c r="L24" s="129"/>
      <c r="M24" s="129"/>
      <c r="N24" s="129"/>
      <c r="O24" s="129"/>
      <c r="P24" s="129"/>
      <c r="Q24" s="129"/>
      <c r="R24" s="298"/>
      <c r="S24" s="298"/>
      <c r="T24" s="298"/>
      <c r="U24" s="298"/>
      <c r="V24" s="298"/>
      <c r="W24" s="298"/>
      <c r="X24" s="298"/>
      <c r="Y24" s="298"/>
      <c r="Z24" s="298"/>
      <c r="AA24" s="298"/>
      <c r="AB24" s="298"/>
      <c r="AC24" s="298"/>
      <c r="AD24" s="298"/>
      <c r="AE24" s="298"/>
      <c r="AF24" s="298"/>
      <c r="AG24" s="298"/>
    </row>
    <row r="25" spans="1:33">
      <c r="A25" s="298"/>
      <c r="B25" s="129"/>
      <c r="C25" s="129"/>
      <c r="D25" s="129"/>
      <c r="E25" s="129"/>
      <c r="F25" s="129"/>
      <c r="G25" s="129"/>
      <c r="H25" s="129"/>
      <c r="I25" s="129"/>
      <c r="J25" s="129"/>
      <c r="K25" s="129"/>
      <c r="L25" s="129"/>
      <c r="M25" s="129"/>
      <c r="N25" s="129"/>
      <c r="O25" s="129"/>
      <c r="P25" s="129"/>
      <c r="Q25" s="129"/>
      <c r="R25" s="298"/>
      <c r="S25" s="298"/>
      <c r="T25" s="298"/>
      <c r="U25" s="298"/>
      <c r="V25" s="298"/>
      <c r="W25" s="298"/>
      <c r="X25" s="298"/>
      <c r="Y25" s="298"/>
      <c r="Z25" s="298"/>
      <c r="AA25" s="298"/>
      <c r="AB25" s="298"/>
      <c r="AC25" s="298"/>
      <c r="AD25" s="298"/>
      <c r="AE25" s="298"/>
      <c r="AF25" s="298"/>
      <c r="AG25" s="298"/>
    </row>
    <row r="26" spans="1:33">
      <c r="A26" s="298"/>
      <c r="B26" s="129"/>
      <c r="C26" s="129"/>
      <c r="D26" s="129"/>
      <c r="E26" s="129"/>
      <c r="F26" s="129"/>
      <c r="G26" s="129"/>
      <c r="H26" s="129"/>
      <c r="I26" s="129"/>
      <c r="J26" s="129"/>
      <c r="K26" s="129"/>
      <c r="L26" s="129"/>
      <c r="M26" s="129"/>
      <c r="N26" s="129"/>
      <c r="O26" s="129"/>
      <c r="P26" s="129"/>
      <c r="Q26" s="129"/>
      <c r="R26" s="298"/>
      <c r="S26" s="298"/>
      <c r="T26" s="298"/>
      <c r="U26" s="298"/>
      <c r="V26" s="298"/>
      <c r="W26" s="298"/>
      <c r="X26" s="298"/>
      <c r="Y26" s="298"/>
      <c r="Z26" s="298"/>
      <c r="AA26" s="298"/>
      <c r="AB26" s="298"/>
      <c r="AC26" s="298"/>
      <c r="AD26" s="298"/>
      <c r="AE26" s="298"/>
      <c r="AF26" s="298"/>
      <c r="AG26" s="298"/>
    </row>
    <row r="27" spans="1:33">
      <c r="A27" s="298"/>
      <c r="B27" s="129"/>
      <c r="C27" s="129"/>
      <c r="D27" s="129"/>
      <c r="E27" s="129"/>
      <c r="F27" s="129"/>
      <c r="G27" s="129"/>
      <c r="H27" s="129"/>
      <c r="I27" s="129"/>
      <c r="J27" s="129"/>
      <c r="K27" s="129"/>
      <c r="L27" s="129"/>
      <c r="M27" s="129"/>
      <c r="N27" s="129"/>
      <c r="O27" s="129"/>
      <c r="P27" s="129"/>
      <c r="Q27" s="129"/>
      <c r="R27" s="298"/>
      <c r="S27" s="298"/>
      <c r="T27" s="298"/>
      <c r="U27" s="298"/>
      <c r="V27" s="298"/>
      <c r="W27" s="298"/>
      <c r="X27" s="298"/>
      <c r="Y27" s="298"/>
      <c r="Z27" s="298"/>
      <c r="AA27" s="298"/>
      <c r="AB27" s="298"/>
      <c r="AC27" s="298"/>
      <c r="AD27" s="298"/>
      <c r="AE27" s="298"/>
      <c r="AF27" s="298"/>
      <c r="AG27" s="298"/>
    </row>
    <row r="28" spans="1:33">
      <c r="A28" s="298"/>
      <c r="B28" s="129"/>
      <c r="C28" s="129"/>
      <c r="D28" s="129"/>
      <c r="E28" s="129"/>
      <c r="F28" s="129"/>
      <c r="G28" s="129"/>
      <c r="H28" s="129"/>
      <c r="I28" s="129"/>
      <c r="J28" s="129"/>
      <c r="K28" s="129"/>
      <c r="L28" s="129"/>
      <c r="M28" s="129"/>
      <c r="N28" s="129"/>
      <c r="O28" s="129"/>
      <c r="P28" s="129"/>
      <c r="Q28" s="129"/>
      <c r="R28" s="298"/>
      <c r="S28" s="298"/>
      <c r="T28" s="298"/>
      <c r="U28" s="298"/>
      <c r="V28" s="298"/>
      <c r="W28" s="298"/>
      <c r="X28" s="298"/>
      <c r="Y28" s="298"/>
      <c r="Z28" s="298"/>
      <c r="AA28" s="298"/>
      <c r="AB28" s="298"/>
      <c r="AC28" s="298"/>
      <c r="AD28" s="298"/>
      <c r="AE28" s="298"/>
      <c r="AF28" s="298"/>
      <c r="AG28" s="298"/>
    </row>
    <row r="29" spans="1:33">
      <c r="A29" s="298"/>
      <c r="B29" s="129"/>
      <c r="C29" s="129"/>
      <c r="D29" s="129"/>
      <c r="E29" s="129"/>
      <c r="F29" s="129"/>
      <c r="G29" s="129"/>
      <c r="H29" s="129"/>
      <c r="I29" s="129"/>
      <c r="J29" s="129"/>
      <c r="K29" s="129"/>
      <c r="L29" s="129"/>
      <c r="M29" s="129"/>
      <c r="N29" s="129"/>
      <c r="O29" s="129"/>
      <c r="P29" s="129"/>
      <c r="Q29" s="129"/>
      <c r="R29" s="298"/>
      <c r="S29" s="298"/>
      <c r="T29" s="298"/>
      <c r="U29" s="298"/>
      <c r="V29" s="298"/>
      <c r="W29" s="298"/>
      <c r="X29" s="298"/>
      <c r="Y29" s="298"/>
      <c r="Z29" s="298"/>
      <c r="AA29" s="298"/>
      <c r="AB29" s="298"/>
      <c r="AC29" s="298"/>
      <c r="AD29" s="298"/>
      <c r="AE29" s="298"/>
      <c r="AF29" s="298"/>
      <c r="AG29" s="298"/>
    </row>
    <row r="30" spans="1:33">
      <c r="A30" s="298"/>
      <c r="B30" s="129"/>
      <c r="C30" s="129"/>
      <c r="D30" s="129"/>
      <c r="E30" s="129"/>
      <c r="F30" s="129"/>
      <c r="G30" s="129"/>
      <c r="H30" s="129"/>
      <c r="I30" s="129"/>
      <c r="J30" s="129"/>
      <c r="K30" s="129"/>
      <c r="L30" s="129"/>
      <c r="M30" s="129"/>
      <c r="N30" s="129"/>
      <c r="O30" s="129"/>
      <c r="P30" s="129"/>
      <c r="Q30" s="129"/>
      <c r="R30" s="298"/>
      <c r="S30" s="298"/>
      <c r="T30" s="298"/>
      <c r="U30" s="298"/>
      <c r="V30" s="298"/>
      <c r="W30" s="298"/>
      <c r="X30" s="298"/>
      <c r="Y30" s="298"/>
      <c r="Z30" s="298"/>
      <c r="AA30" s="298"/>
      <c r="AB30" s="298"/>
      <c r="AC30" s="298"/>
      <c r="AD30" s="298"/>
      <c r="AE30" s="298"/>
      <c r="AF30" s="298"/>
      <c r="AG30" s="298"/>
    </row>
    <row r="31" spans="1:33">
      <c r="A31" s="298"/>
      <c r="B31" s="129"/>
      <c r="C31" s="129"/>
      <c r="D31" s="129"/>
      <c r="E31" s="129"/>
      <c r="F31" s="129"/>
      <c r="G31" s="129"/>
      <c r="H31" s="129"/>
      <c r="I31" s="129"/>
      <c r="J31" s="129"/>
      <c r="K31" s="129"/>
      <c r="L31" s="129"/>
      <c r="M31" s="129"/>
      <c r="N31" s="129"/>
      <c r="O31" s="129"/>
      <c r="P31" s="129"/>
      <c r="Q31" s="129"/>
      <c r="R31" s="298"/>
      <c r="S31" s="298"/>
      <c r="T31" s="298"/>
      <c r="U31" s="298"/>
      <c r="V31" s="298"/>
      <c r="W31" s="298"/>
      <c r="X31" s="298"/>
      <c r="Y31" s="298"/>
      <c r="Z31" s="298"/>
      <c r="AA31" s="298"/>
      <c r="AB31" s="298"/>
      <c r="AC31" s="298"/>
      <c r="AD31" s="298"/>
      <c r="AE31" s="298"/>
      <c r="AF31" s="298"/>
      <c r="AG31" s="298"/>
    </row>
    <row r="32" spans="1:33">
      <c r="A32" s="298"/>
      <c r="B32" s="129"/>
      <c r="C32" s="129"/>
      <c r="D32" s="129"/>
      <c r="E32" s="129"/>
      <c r="F32" s="129"/>
      <c r="G32" s="129"/>
      <c r="H32" s="129"/>
      <c r="I32" s="129"/>
      <c r="J32" s="129"/>
      <c r="K32" s="129"/>
      <c r="L32" s="129"/>
      <c r="M32" s="129"/>
      <c r="N32" s="129"/>
      <c r="O32" s="129"/>
      <c r="P32" s="129"/>
      <c r="Q32" s="129"/>
      <c r="R32" s="298"/>
      <c r="S32" s="298"/>
      <c r="T32" s="298"/>
      <c r="U32" s="298"/>
      <c r="V32" s="298"/>
      <c r="W32" s="298"/>
      <c r="X32" s="298"/>
      <c r="Y32" s="298"/>
      <c r="Z32" s="298"/>
      <c r="AA32" s="298"/>
      <c r="AB32" s="298"/>
      <c r="AC32" s="298"/>
      <c r="AD32" s="298"/>
      <c r="AE32" s="298"/>
      <c r="AF32" s="298"/>
      <c r="AG32" s="298"/>
    </row>
    <row r="33" spans="1:33">
      <c r="A33" s="298"/>
      <c r="B33" s="129"/>
      <c r="C33" s="129"/>
      <c r="D33" s="129"/>
      <c r="E33" s="129"/>
      <c r="F33" s="129"/>
      <c r="G33" s="129"/>
      <c r="H33" s="129"/>
      <c r="I33" s="129"/>
      <c r="J33" s="129"/>
      <c r="K33" s="129"/>
      <c r="L33" s="129"/>
      <c r="M33" s="129"/>
      <c r="N33" s="129"/>
      <c r="O33" s="129"/>
      <c r="P33" s="129"/>
      <c r="Q33" s="129"/>
      <c r="R33" s="298"/>
      <c r="S33" s="298"/>
      <c r="T33" s="298"/>
      <c r="U33" s="298"/>
      <c r="V33" s="298"/>
      <c r="W33" s="298"/>
      <c r="X33" s="298"/>
      <c r="Y33" s="298"/>
      <c r="Z33" s="298"/>
      <c r="AA33" s="298"/>
      <c r="AB33" s="298"/>
      <c r="AC33" s="298"/>
      <c r="AD33" s="298"/>
      <c r="AE33" s="298"/>
      <c r="AF33" s="298"/>
      <c r="AG33" s="298"/>
    </row>
    <row r="34" spans="1:33">
      <c r="A34" s="298"/>
      <c r="B34" s="129"/>
      <c r="C34" s="129"/>
      <c r="D34" s="129"/>
      <c r="E34" s="129"/>
      <c r="F34" s="129"/>
      <c r="G34" s="129"/>
      <c r="H34" s="129"/>
      <c r="I34" s="129"/>
      <c r="J34" s="129"/>
      <c r="K34" s="129"/>
      <c r="L34" s="129"/>
      <c r="M34" s="129"/>
      <c r="N34" s="129"/>
      <c r="O34" s="129"/>
      <c r="P34" s="129"/>
      <c r="Q34" s="129"/>
      <c r="R34" s="298"/>
      <c r="S34" s="298"/>
      <c r="T34" s="298"/>
      <c r="U34" s="298"/>
      <c r="V34" s="298"/>
      <c r="W34" s="298"/>
      <c r="X34" s="298"/>
      <c r="Y34" s="298"/>
      <c r="Z34" s="298"/>
      <c r="AA34" s="298"/>
      <c r="AB34" s="298"/>
      <c r="AC34" s="298"/>
      <c r="AD34" s="298"/>
      <c r="AE34" s="298"/>
      <c r="AF34" s="298"/>
      <c r="AG34" s="298"/>
    </row>
    <row r="35" spans="1:33">
      <c r="A35" s="298"/>
      <c r="B35" s="129"/>
      <c r="C35" s="129"/>
      <c r="D35" s="129"/>
      <c r="E35" s="129"/>
      <c r="F35" s="129"/>
      <c r="G35" s="129"/>
      <c r="H35" s="129"/>
      <c r="I35" s="129"/>
      <c r="J35" s="129"/>
      <c r="K35" s="129"/>
      <c r="L35" s="129"/>
      <c r="M35" s="129"/>
      <c r="N35" s="129"/>
      <c r="O35" s="129"/>
      <c r="P35" s="129"/>
      <c r="Q35" s="129"/>
      <c r="R35" s="298"/>
      <c r="S35" s="298"/>
      <c r="T35" s="298"/>
      <c r="U35" s="298"/>
      <c r="V35" s="298"/>
      <c r="W35" s="298"/>
      <c r="X35" s="298"/>
      <c r="Y35" s="298"/>
      <c r="Z35" s="298"/>
      <c r="AA35" s="298"/>
      <c r="AB35" s="298"/>
      <c r="AC35" s="298"/>
      <c r="AD35" s="298"/>
      <c r="AE35" s="298"/>
      <c r="AF35" s="298"/>
      <c r="AG35" s="298"/>
    </row>
    <row r="36" spans="1:33">
      <c r="A36" s="298"/>
      <c r="B36" s="129"/>
      <c r="C36" s="129"/>
      <c r="D36" s="129"/>
      <c r="E36" s="129"/>
      <c r="F36" s="129"/>
      <c r="G36" s="129"/>
      <c r="H36" s="129"/>
      <c r="I36" s="129"/>
      <c r="J36" s="129"/>
      <c r="K36" s="129"/>
      <c r="L36" s="129"/>
      <c r="M36" s="129"/>
      <c r="N36" s="129"/>
      <c r="O36" s="129"/>
      <c r="P36" s="129"/>
      <c r="Q36" s="129"/>
      <c r="R36" s="298"/>
      <c r="S36" s="298"/>
      <c r="T36" s="298"/>
      <c r="U36" s="298"/>
      <c r="V36" s="298"/>
      <c r="W36" s="298"/>
      <c r="X36" s="298"/>
      <c r="Y36" s="298"/>
      <c r="Z36" s="298"/>
      <c r="AA36" s="298"/>
      <c r="AB36" s="298"/>
      <c r="AC36" s="298"/>
      <c r="AD36" s="298"/>
      <c r="AE36" s="298"/>
      <c r="AF36" s="298"/>
      <c r="AG36" s="298"/>
    </row>
    <row r="37" spans="1:33">
      <c r="A37" s="298"/>
      <c r="B37" s="129"/>
      <c r="C37" s="129"/>
      <c r="D37" s="129"/>
      <c r="E37" s="129"/>
      <c r="F37" s="129"/>
      <c r="G37" s="129"/>
      <c r="H37" s="129"/>
      <c r="I37" s="129"/>
      <c r="J37" s="129"/>
      <c r="K37" s="129"/>
      <c r="L37" s="129"/>
      <c r="M37" s="129"/>
      <c r="N37" s="129"/>
      <c r="O37" s="129"/>
      <c r="P37" s="129"/>
      <c r="Q37" s="129"/>
      <c r="R37" s="298"/>
      <c r="S37" s="298"/>
      <c r="T37" s="298"/>
      <c r="U37" s="298"/>
      <c r="V37" s="298"/>
      <c r="W37" s="298"/>
      <c r="X37" s="298"/>
      <c r="Y37" s="298"/>
      <c r="Z37" s="298"/>
      <c r="AA37" s="298"/>
      <c r="AB37" s="298"/>
      <c r="AC37" s="298"/>
      <c r="AD37" s="298"/>
      <c r="AE37" s="298"/>
      <c r="AF37" s="298"/>
      <c r="AG37" s="298"/>
    </row>
    <row r="38" spans="1:33">
      <c r="A38" s="298"/>
      <c r="B38" s="129"/>
      <c r="C38" s="129"/>
      <c r="D38" s="129"/>
      <c r="E38" s="129"/>
      <c r="F38" s="129"/>
      <c r="G38" s="129"/>
      <c r="H38" s="129"/>
      <c r="I38" s="129"/>
      <c r="J38" s="129"/>
      <c r="K38" s="129"/>
      <c r="L38" s="129"/>
      <c r="M38" s="129"/>
      <c r="N38" s="129"/>
      <c r="O38" s="129"/>
      <c r="P38" s="129"/>
      <c r="Q38" s="129"/>
      <c r="R38" s="298"/>
      <c r="S38" s="298"/>
      <c r="T38" s="298"/>
      <c r="U38" s="298"/>
      <c r="V38" s="298"/>
      <c r="W38" s="298"/>
      <c r="X38" s="298"/>
      <c r="Y38" s="298"/>
      <c r="Z38" s="298"/>
      <c r="AA38" s="298"/>
      <c r="AB38" s="298"/>
      <c r="AC38" s="298"/>
      <c r="AD38" s="298"/>
      <c r="AE38" s="298"/>
      <c r="AF38" s="298"/>
      <c r="AG38" s="298"/>
    </row>
    <row r="39" spans="1:33">
      <c r="A39" s="298"/>
      <c r="B39" s="129"/>
      <c r="C39" s="129"/>
      <c r="D39" s="129"/>
      <c r="E39" s="129"/>
      <c r="F39" s="129"/>
      <c r="G39" s="129"/>
      <c r="H39" s="129"/>
      <c r="I39" s="129"/>
      <c r="J39" s="129"/>
      <c r="K39" s="129"/>
      <c r="L39" s="129"/>
      <c r="M39" s="129"/>
      <c r="N39" s="129"/>
      <c r="O39" s="129"/>
      <c r="P39" s="129"/>
      <c r="Q39" s="129"/>
      <c r="R39" s="298"/>
      <c r="S39" s="298"/>
      <c r="T39" s="298"/>
      <c r="U39" s="298"/>
      <c r="V39" s="298"/>
      <c r="W39" s="298"/>
      <c r="X39" s="298"/>
      <c r="Y39" s="298"/>
      <c r="Z39" s="298"/>
      <c r="AA39" s="298"/>
      <c r="AB39" s="298"/>
      <c r="AC39" s="298"/>
      <c r="AD39" s="298"/>
      <c r="AE39" s="298"/>
      <c r="AF39" s="298"/>
      <c r="AG39" s="298"/>
    </row>
    <row r="40" spans="1:33">
      <c r="A40" s="298"/>
      <c r="B40" s="129"/>
      <c r="C40" s="129"/>
      <c r="D40" s="129"/>
      <c r="E40" s="129"/>
      <c r="F40" s="129"/>
      <c r="G40" s="129"/>
      <c r="H40" s="129"/>
      <c r="I40" s="129"/>
      <c r="J40" s="129"/>
      <c r="K40" s="129"/>
      <c r="L40" s="129"/>
      <c r="M40" s="129"/>
      <c r="N40" s="129"/>
      <c r="O40" s="129"/>
      <c r="P40" s="129"/>
      <c r="Q40" s="129"/>
      <c r="R40" s="298"/>
      <c r="S40" s="298"/>
      <c r="T40" s="298"/>
      <c r="U40" s="298"/>
      <c r="V40" s="298"/>
      <c r="W40" s="298"/>
      <c r="X40" s="298"/>
      <c r="Y40" s="298"/>
      <c r="Z40" s="298"/>
      <c r="AA40" s="298"/>
      <c r="AB40" s="298"/>
      <c r="AC40" s="298"/>
      <c r="AD40" s="298"/>
      <c r="AE40" s="298"/>
      <c r="AF40" s="298"/>
      <c r="AG40" s="298"/>
    </row>
    <row r="41" spans="1:33">
      <c r="A41" s="298"/>
      <c r="B41" s="129"/>
      <c r="C41" s="129"/>
      <c r="D41" s="129"/>
      <c r="E41" s="129"/>
      <c r="F41" s="129"/>
      <c r="G41" s="129"/>
      <c r="H41" s="129"/>
      <c r="I41" s="129"/>
      <c r="J41" s="129"/>
      <c r="K41" s="129"/>
      <c r="L41" s="129"/>
      <c r="M41" s="129"/>
      <c r="N41" s="129"/>
      <c r="O41" s="129"/>
      <c r="P41" s="129"/>
      <c r="Q41" s="129"/>
      <c r="R41" s="298"/>
      <c r="S41" s="298"/>
      <c r="T41" s="298"/>
      <c r="U41" s="298"/>
      <c r="V41" s="298"/>
      <c r="W41" s="298"/>
      <c r="X41" s="298"/>
      <c r="Y41" s="298"/>
      <c r="Z41" s="298"/>
      <c r="AA41" s="298"/>
      <c r="AB41" s="298"/>
      <c r="AC41" s="298"/>
      <c r="AD41" s="298"/>
      <c r="AE41" s="298"/>
      <c r="AF41" s="298"/>
      <c r="AG41" s="298"/>
    </row>
    <row r="42" spans="1:33">
      <c r="A42" s="298"/>
      <c r="B42" s="129"/>
      <c r="C42" s="129"/>
      <c r="D42" s="129"/>
      <c r="E42" s="129"/>
      <c r="F42" s="129"/>
      <c r="G42" s="129"/>
      <c r="H42" s="129"/>
      <c r="I42" s="129"/>
      <c r="J42" s="129"/>
      <c r="K42" s="129"/>
      <c r="L42" s="129"/>
      <c r="M42" s="129"/>
      <c r="N42" s="129"/>
      <c r="O42" s="129"/>
      <c r="P42" s="129"/>
      <c r="Q42" s="129"/>
      <c r="R42" s="298"/>
      <c r="S42" s="298"/>
      <c r="T42" s="298"/>
      <c r="U42" s="298"/>
      <c r="V42" s="298"/>
      <c r="W42" s="298"/>
      <c r="X42" s="298"/>
      <c r="Y42" s="298"/>
      <c r="Z42" s="298"/>
      <c r="AA42" s="298"/>
      <c r="AB42" s="298"/>
      <c r="AC42" s="298"/>
      <c r="AD42" s="298"/>
      <c r="AE42" s="298"/>
      <c r="AF42" s="298"/>
      <c r="AG42" s="298"/>
    </row>
    <row r="43" spans="1:33">
      <c r="A43" s="298"/>
      <c r="B43" s="129"/>
      <c r="C43" s="129"/>
      <c r="D43" s="129"/>
      <c r="E43" s="129"/>
      <c r="F43" s="129"/>
      <c r="G43" s="129"/>
      <c r="H43" s="129"/>
      <c r="I43" s="129"/>
      <c r="J43" s="129"/>
      <c r="K43" s="129"/>
      <c r="L43" s="129"/>
      <c r="M43" s="129"/>
      <c r="N43" s="129"/>
      <c r="O43" s="129"/>
      <c r="P43" s="129"/>
      <c r="Q43" s="129"/>
      <c r="R43" s="298"/>
      <c r="S43" s="298"/>
      <c r="T43" s="298"/>
      <c r="U43" s="298"/>
      <c r="V43" s="298"/>
      <c r="W43" s="298"/>
      <c r="X43" s="298"/>
      <c r="Y43" s="298"/>
      <c r="Z43" s="298"/>
      <c r="AA43" s="298"/>
      <c r="AB43" s="298"/>
      <c r="AC43" s="298"/>
      <c r="AD43" s="298"/>
      <c r="AE43" s="298"/>
      <c r="AF43" s="298"/>
      <c r="AG43" s="298"/>
    </row>
    <row r="44" spans="1:33">
      <c r="A44" s="298"/>
      <c r="B44" s="129"/>
      <c r="C44" s="129"/>
      <c r="D44" s="129"/>
      <c r="E44" s="129"/>
      <c r="F44" s="129"/>
      <c r="G44" s="129"/>
      <c r="H44" s="129"/>
      <c r="I44" s="129"/>
      <c r="J44" s="129"/>
      <c r="K44" s="129"/>
      <c r="L44" s="129"/>
      <c r="M44" s="129"/>
      <c r="N44" s="129"/>
      <c r="O44" s="129"/>
      <c r="P44" s="129"/>
      <c r="Q44" s="129"/>
      <c r="R44" s="298"/>
      <c r="S44" s="298"/>
      <c r="T44" s="298"/>
      <c r="U44" s="298"/>
      <c r="V44" s="298"/>
      <c r="W44" s="298"/>
      <c r="X44" s="298"/>
      <c r="Y44" s="298"/>
      <c r="Z44" s="298"/>
      <c r="AA44" s="298"/>
      <c r="AB44" s="298"/>
      <c r="AC44" s="298"/>
      <c r="AD44" s="298"/>
      <c r="AE44" s="298"/>
      <c r="AF44" s="298"/>
      <c r="AG44" s="298"/>
    </row>
    <row r="45" spans="1:33">
      <c r="A45" s="298"/>
      <c r="B45" s="129"/>
      <c r="C45" s="129"/>
      <c r="D45" s="129"/>
      <c r="E45" s="129"/>
      <c r="F45" s="129"/>
      <c r="G45" s="129"/>
      <c r="H45" s="129"/>
      <c r="I45" s="129"/>
      <c r="J45" s="129"/>
      <c r="K45" s="129"/>
      <c r="L45" s="129"/>
      <c r="M45" s="129"/>
      <c r="N45" s="129"/>
      <c r="O45" s="129"/>
      <c r="P45" s="129"/>
      <c r="Q45" s="129"/>
      <c r="R45" s="298"/>
      <c r="S45" s="298"/>
      <c r="T45" s="298"/>
      <c r="U45" s="298"/>
      <c r="V45" s="298"/>
      <c r="W45" s="298"/>
      <c r="X45" s="298"/>
      <c r="Y45" s="298"/>
      <c r="Z45" s="298"/>
      <c r="AA45" s="298"/>
      <c r="AB45" s="298"/>
      <c r="AC45" s="298"/>
      <c r="AD45" s="298"/>
      <c r="AE45" s="298"/>
      <c r="AF45" s="298"/>
      <c r="AG45" s="298"/>
    </row>
    <row r="46" spans="1:33">
      <c r="A46" s="298"/>
      <c r="B46" s="129"/>
      <c r="C46" s="129"/>
      <c r="D46" s="129"/>
      <c r="E46" s="129"/>
      <c r="F46" s="129"/>
      <c r="G46" s="129"/>
      <c r="H46" s="129"/>
      <c r="I46" s="129"/>
      <c r="J46" s="129"/>
      <c r="K46" s="129"/>
      <c r="L46" s="129"/>
      <c r="M46" s="129"/>
      <c r="N46" s="129"/>
      <c r="O46" s="129"/>
      <c r="P46" s="129"/>
      <c r="Q46" s="129"/>
      <c r="R46" s="298"/>
      <c r="S46" s="298"/>
      <c r="T46" s="298"/>
      <c r="U46" s="298"/>
      <c r="V46" s="298"/>
      <c r="W46" s="298"/>
      <c r="X46" s="298"/>
      <c r="Y46" s="298"/>
      <c r="Z46" s="298"/>
      <c r="AA46" s="298"/>
      <c r="AB46" s="298"/>
      <c r="AC46" s="298"/>
      <c r="AD46" s="298"/>
      <c r="AE46" s="298"/>
      <c r="AF46" s="298"/>
      <c r="AG46" s="298"/>
    </row>
    <row r="47" spans="1:33">
      <c r="A47" s="298"/>
      <c r="B47" s="129"/>
      <c r="C47" s="129"/>
      <c r="D47" s="129"/>
      <c r="E47" s="129"/>
      <c r="F47" s="129"/>
      <c r="G47" s="129"/>
      <c r="H47" s="129"/>
      <c r="I47" s="129"/>
      <c r="J47" s="129"/>
      <c r="K47" s="129"/>
      <c r="L47" s="129"/>
      <c r="M47" s="129"/>
      <c r="N47" s="129"/>
      <c r="O47" s="129"/>
      <c r="P47" s="129"/>
      <c r="Q47" s="129"/>
      <c r="R47" s="298"/>
      <c r="S47" s="298"/>
      <c r="T47" s="298"/>
      <c r="U47" s="298"/>
      <c r="V47" s="298"/>
      <c r="W47" s="298"/>
      <c r="X47" s="298"/>
      <c r="Y47" s="298"/>
      <c r="Z47" s="298"/>
      <c r="AA47" s="298"/>
      <c r="AB47" s="298"/>
      <c r="AC47" s="298"/>
      <c r="AD47" s="298"/>
      <c r="AE47" s="298"/>
      <c r="AF47" s="298"/>
      <c r="AG47" s="298"/>
    </row>
    <row r="48" spans="1:33">
      <c r="A48" s="298"/>
      <c r="B48" s="129"/>
      <c r="C48" s="129"/>
      <c r="D48" s="129"/>
      <c r="E48" s="129"/>
      <c r="F48" s="129"/>
      <c r="G48" s="129"/>
      <c r="H48" s="129"/>
      <c r="I48" s="129"/>
      <c r="J48" s="129"/>
      <c r="K48" s="129"/>
      <c r="L48" s="129"/>
      <c r="M48" s="129"/>
      <c r="N48" s="129"/>
      <c r="O48" s="129"/>
      <c r="P48" s="129"/>
      <c r="Q48" s="129"/>
      <c r="R48" s="298"/>
      <c r="S48" s="298"/>
      <c r="T48" s="298"/>
      <c r="U48" s="298"/>
      <c r="V48" s="298"/>
      <c r="W48" s="298"/>
      <c r="X48" s="298"/>
      <c r="Y48" s="298"/>
      <c r="Z48" s="298"/>
      <c r="AA48" s="298"/>
      <c r="AB48" s="298"/>
      <c r="AC48" s="298"/>
      <c r="AD48" s="298"/>
      <c r="AE48" s="298"/>
      <c r="AF48" s="298"/>
      <c r="AG48" s="298"/>
    </row>
    <row r="49" spans="1:33">
      <c r="A49" s="298"/>
      <c r="B49" s="129"/>
      <c r="C49" s="129"/>
      <c r="D49" s="129"/>
      <c r="E49" s="129"/>
      <c r="F49" s="129"/>
      <c r="G49" s="129"/>
      <c r="H49" s="129"/>
      <c r="I49" s="129"/>
      <c r="J49" s="129"/>
      <c r="K49" s="129"/>
      <c r="L49" s="129"/>
      <c r="M49" s="129"/>
      <c r="N49" s="129"/>
      <c r="O49" s="129"/>
      <c r="P49" s="129"/>
      <c r="Q49" s="129"/>
      <c r="R49" s="298"/>
      <c r="S49" s="298"/>
      <c r="T49" s="298"/>
      <c r="U49" s="298"/>
      <c r="V49" s="298"/>
      <c r="W49" s="298"/>
      <c r="X49" s="298"/>
      <c r="Y49" s="298"/>
      <c r="Z49" s="298"/>
      <c r="AA49" s="298"/>
      <c r="AB49" s="298"/>
      <c r="AC49" s="298"/>
      <c r="AD49" s="298"/>
      <c r="AE49" s="298"/>
      <c r="AF49" s="298"/>
      <c r="AG49" s="298"/>
    </row>
    <row r="50" spans="1:33">
      <c r="A50" s="298"/>
      <c r="B50" s="129"/>
      <c r="C50" s="129"/>
      <c r="D50" s="129"/>
      <c r="E50" s="129"/>
      <c r="F50" s="129"/>
      <c r="G50" s="129"/>
      <c r="H50" s="129"/>
      <c r="I50" s="129"/>
      <c r="J50" s="129"/>
      <c r="K50" s="129"/>
      <c r="L50" s="129"/>
      <c r="M50" s="129"/>
      <c r="N50" s="129"/>
      <c r="O50" s="129"/>
      <c r="P50" s="129"/>
      <c r="Q50" s="129"/>
      <c r="R50" s="298"/>
      <c r="S50" s="298"/>
      <c r="T50" s="298"/>
      <c r="U50" s="298"/>
      <c r="V50" s="298"/>
      <c r="W50" s="298"/>
      <c r="X50" s="298"/>
      <c r="Y50" s="298"/>
      <c r="Z50" s="298"/>
      <c r="AA50" s="298"/>
      <c r="AB50" s="298"/>
      <c r="AC50" s="298"/>
      <c r="AD50" s="298"/>
      <c r="AE50" s="298"/>
      <c r="AF50" s="298"/>
      <c r="AG50" s="298"/>
    </row>
    <row r="51" spans="1:33" ht="7.5" customHeight="1">
      <c r="A51" s="298"/>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row>
    <row r="52" spans="1:33" ht="18.75">
      <c r="A52" s="298"/>
      <c r="B52" s="129"/>
      <c r="C52" s="303" t="s">
        <v>466</v>
      </c>
      <c r="D52" s="302"/>
      <c r="E52" s="129"/>
      <c r="F52" s="129"/>
      <c r="G52" s="129"/>
      <c r="H52" s="129"/>
      <c r="I52" s="129"/>
      <c r="J52" s="129"/>
      <c r="K52" s="129"/>
      <c r="L52" s="129"/>
      <c r="M52" s="129"/>
      <c r="N52" s="129"/>
      <c r="O52" s="129"/>
      <c r="P52" s="129"/>
      <c r="Q52" s="129"/>
      <c r="R52" s="298"/>
      <c r="S52" s="298"/>
      <c r="T52" s="298"/>
      <c r="U52" s="298"/>
      <c r="V52" s="298"/>
      <c r="W52" s="298"/>
      <c r="X52" s="298"/>
      <c r="Y52" s="298"/>
      <c r="Z52" s="298"/>
      <c r="AA52" s="298"/>
      <c r="AB52" s="298"/>
      <c r="AC52" s="298"/>
      <c r="AD52" s="298"/>
      <c r="AE52" s="298"/>
      <c r="AF52" s="298"/>
      <c r="AG52" s="298"/>
    </row>
    <row r="53" spans="1:33" ht="17.25">
      <c r="A53" s="298"/>
      <c r="B53" s="129"/>
      <c r="C53" s="160"/>
      <c r="D53" s="129"/>
      <c r="E53" s="129"/>
      <c r="F53" s="129"/>
      <c r="G53" s="129"/>
      <c r="H53" s="129"/>
      <c r="I53" s="129"/>
      <c r="J53" s="129"/>
      <c r="K53" s="129"/>
      <c r="L53" s="129"/>
      <c r="M53" s="129"/>
      <c r="N53" s="129"/>
      <c r="O53" s="129"/>
      <c r="P53" s="129"/>
      <c r="Q53" s="129"/>
      <c r="R53" s="298"/>
      <c r="S53" s="298"/>
      <c r="T53" s="298"/>
      <c r="U53" s="298"/>
      <c r="V53" s="298"/>
      <c r="W53" s="298"/>
      <c r="X53" s="298"/>
      <c r="Y53" s="298"/>
      <c r="Z53" s="298"/>
      <c r="AA53" s="298"/>
      <c r="AB53" s="298"/>
      <c r="AC53" s="298"/>
      <c r="AD53" s="298"/>
      <c r="AE53" s="298"/>
      <c r="AF53" s="298"/>
      <c r="AG53" s="298"/>
    </row>
    <row r="54" spans="1:33" s="190" customFormat="1">
      <c r="A54" s="299"/>
      <c r="B54" s="191"/>
      <c r="C54" s="192" t="s">
        <v>439</v>
      </c>
      <c r="D54" s="191"/>
      <c r="E54" s="191"/>
      <c r="F54" s="191"/>
      <c r="G54" s="191"/>
      <c r="H54" s="191"/>
      <c r="I54" s="191"/>
      <c r="J54" s="191"/>
      <c r="K54" s="191"/>
      <c r="L54" s="191"/>
      <c r="M54" s="191"/>
      <c r="N54" s="191"/>
      <c r="O54" s="191"/>
      <c r="P54" s="191"/>
      <c r="Q54" s="191"/>
      <c r="R54" s="299"/>
      <c r="S54" s="299"/>
      <c r="T54" s="299"/>
      <c r="U54" s="299"/>
      <c r="V54" s="299"/>
      <c r="W54" s="299"/>
      <c r="X54" s="299"/>
      <c r="Y54" s="299"/>
      <c r="Z54" s="299"/>
      <c r="AA54" s="299"/>
      <c r="AB54" s="299"/>
      <c r="AC54" s="299"/>
      <c r="AD54" s="299"/>
      <c r="AE54" s="299"/>
      <c r="AF54" s="299"/>
      <c r="AG54" s="299"/>
    </row>
    <row r="55" spans="1:33" s="190" customFormat="1">
      <c r="A55" s="299"/>
      <c r="B55" s="191"/>
      <c r="C55" s="133" t="s">
        <v>419</v>
      </c>
      <c r="D55" s="191"/>
      <c r="E55" s="191"/>
      <c r="F55" s="191"/>
      <c r="G55" s="191"/>
      <c r="H55" s="191"/>
      <c r="I55" s="191"/>
      <c r="J55" s="191"/>
      <c r="K55" s="191"/>
      <c r="L55" s="191"/>
      <c r="M55" s="191"/>
      <c r="N55" s="191"/>
      <c r="O55" s="191"/>
      <c r="P55" s="191"/>
      <c r="Q55" s="191"/>
      <c r="R55" s="299"/>
      <c r="S55" s="299"/>
      <c r="T55" s="299"/>
      <c r="U55" s="299"/>
      <c r="V55" s="299"/>
      <c r="W55" s="299"/>
      <c r="X55" s="299"/>
      <c r="Y55" s="299"/>
      <c r="Z55" s="299"/>
      <c r="AA55" s="299"/>
      <c r="AB55" s="299"/>
      <c r="AC55" s="299"/>
      <c r="AD55" s="299"/>
      <c r="AE55" s="299"/>
      <c r="AF55" s="299"/>
      <c r="AG55" s="299"/>
    </row>
    <row r="56" spans="1:33" s="190" customFormat="1">
      <c r="A56" s="299"/>
      <c r="B56" s="191"/>
      <c r="D56" s="191"/>
      <c r="E56" s="191"/>
      <c r="F56" s="191"/>
      <c r="G56" s="191"/>
      <c r="H56" s="191"/>
      <c r="I56" s="191"/>
      <c r="J56" s="191"/>
      <c r="K56" s="191"/>
      <c r="L56" s="191"/>
      <c r="M56" s="191"/>
      <c r="N56" s="191"/>
      <c r="O56" s="191"/>
      <c r="P56" s="191"/>
      <c r="Q56" s="191"/>
      <c r="R56" s="299"/>
      <c r="S56" s="299"/>
      <c r="T56" s="299"/>
      <c r="U56" s="299"/>
      <c r="V56" s="299"/>
      <c r="W56" s="299"/>
      <c r="X56" s="299"/>
      <c r="Y56" s="299"/>
      <c r="Z56" s="299"/>
      <c r="AA56" s="299"/>
      <c r="AB56" s="299"/>
      <c r="AC56" s="299"/>
      <c r="AD56" s="299"/>
      <c r="AE56" s="299"/>
      <c r="AF56" s="299"/>
      <c r="AG56" s="299"/>
    </row>
    <row r="57" spans="1:33" s="190" customFormat="1">
      <c r="A57" s="299"/>
      <c r="B57" s="191"/>
      <c r="C57" s="192" t="s">
        <v>472</v>
      </c>
      <c r="D57" s="191"/>
      <c r="E57" s="191"/>
      <c r="F57" s="191"/>
      <c r="G57" s="191"/>
      <c r="H57" s="191"/>
      <c r="I57" s="191"/>
      <c r="J57" s="191"/>
      <c r="K57" s="191"/>
      <c r="L57" s="191"/>
      <c r="M57" s="191"/>
      <c r="N57" s="191"/>
      <c r="O57" s="191"/>
      <c r="P57" s="191"/>
      <c r="Q57" s="191"/>
      <c r="R57" s="299"/>
      <c r="S57" s="299"/>
      <c r="T57" s="299"/>
      <c r="U57" s="299"/>
      <c r="V57" s="299"/>
      <c r="W57" s="299"/>
      <c r="X57" s="299"/>
      <c r="Y57" s="299"/>
      <c r="Z57" s="299"/>
      <c r="AA57" s="299"/>
      <c r="AB57" s="299"/>
      <c r="AC57" s="299"/>
      <c r="AD57" s="299"/>
      <c r="AE57" s="299"/>
      <c r="AF57" s="299"/>
      <c r="AG57" s="299"/>
    </row>
    <row r="58" spans="1:33" s="190" customFormat="1">
      <c r="A58" s="299"/>
      <c r="B58" s="191"/>
      <c r="C58" s="192" t="s">
        <v>473</v>
      </c>
      <c r="D58" s="191"/>
      <c r="E58" s="191"/>
      <c r="F58" s="191"/>
      <c r="G58" s="191"/>
      <c r="H58" s="191"/>
      <c r="I58" s="191"/>
      <c r="J58" s="191"/>
      <c r="K58" s="191"/>
      <c r="L58" s="191"/>
      <c r="M58" s="191"/>
      <c r="N58" s="191"/>
      <c r="O58" s="191"/>
      <c r="P58" s="191"/>
      <c r="Q58" s="191"/>
      <c r="R58" s="299"/>
      <c r="S58" s="299"/>
      <c r="T58" s="299"/>
      <c r="U58" s="299"/>
      <c r="V58" s="299"/>
      <c r="W58" s="299"/>
      <c r="X58" s="299"/>
      <c r="Y58" s="299"/>
      <c r="Z58" s="299"/>
      <c r="AA58" s="299"/>
      <c r="AB58" s="299"/>
      <c r="AC58" s="299"/>
      <c r="AD58" s="299"/>
      <c r="AE58" s="299"/>
      <c r="AF58" s="299"/>
      <c r="AG58" s="299"/>
    </row>
    <row r="59" spans="1:33" s="190" customFormat="1">
      <c r="A59" s="299"/>
      <c r="B59" s="191"/>
      <c r="C59" s="192"/>
      <c r="D59" s="191"/>
      <c r="E59" s="191"/>
      <c r="F59" s="191"/>
      <c r="G59" s="191"/>
      <c r="H59" s="191"/>
      <c r="I59" s="191"/>
      <c r="J59" s="191"/>
      <c r="K59" s="191"/>
      <c r="L59" s="191"/>
      <c r="M59" s="191"/>
      <c r="N59" s="191"/>
      <c r="O59" s="191"/>
      <c r="P59" s="191"/>
      <c r="Q59" s="191"/>
      <c r="R59" s="299"/>
      <c r="S59" s="299"/>
      <c r="T59" s="299"/>
      <c r="U59" s="299"/>
      <c r="V59" s="299"/>
      <c r="W59" s="299"/>
      <c r="X59" s="299"/>
      <c r="Y59" s="299"/>
      <c r="Z59" s="299"/>
      <c r="AA59" s="299"/>
      <c r="AB59" s="299"/>
      <c r="AC59" s="299"/>
      <c r="AD59" s="299"/>
      <c r="AE59" s="299"/>
      <c r="AF59" s="299"/>
      <c r="AG59" s="299"/>
    </row>
    <row r="60" spans="1:33">
      <c r="A60" s="298"/>
      <c r="B60" s="129"/>
      <c r="C60" s="306" t="s">
        <v>58</v>
      </c>
      <c r="D60" s="307"/>
      <c r="E60" s="307"/>
      <c r="F60" s="307"/>
      <c r="G60" s="307"/>
      <c r="H60" s="307"/>
      <c r="I60" s="307"/>
      <c r="J60" s="307"/>
      <c r="K60" s="307"/>
      <c r="L60" s="307"/>
      <c r="M60" s="307"/>
      <c r="N60" s="307"/>
      <c r="O60" s="307"/>
      <c r="P60" s="307"/>
      <c r="Q60" s="296"/>
      <c r="R60" s="298"/>
      <c r="S60" s="298"/>
      <c r="T60" s="298"/>
      <c r="U60" s="298"/>
      <c r="V60" s="298"/>
      <c r="W60" s="298"/>
      <c r="X60" s="298"/>
      <c r="Y60" s="298"/>
      <c r="Z60" s="298"/>
      <c r="AA60" s="298"/>
      <c r="AB60" s="298"/>
      <c r="AC60" s="298"/>
      <c r="AD60" s="298"/>
      <c r="AE60" s="298"/>
      <c r="AF60" s="298"/>
      <c r="AG60" s="298"/>
    </row>
    <row r="61" spans="1:33">
      <c r="A61" s="298"/>
      <c r="B61" s="129"/>
      <c r="C61" s="308" t="s">
        <v>12</v>
      </c>
      <c r="D61" s="307"/>
      <c r="E61" s="307"/>
      <c r="F61" s="307"/>
      <c r="G61" s="307"/>
      <c r="H61" s="307"/>
      <c r="I61" s="307"/>
      <c r="J61" s="307"/>
      <c r="K61" s="307"/>
      <c r="L61" s="307"/>
      <c r="M61" s="307"/>
      <c r="N61" s="307"/>
      <c r="O61" s="307"/>
      <c r="P61" s="307"/>
      <c r="Q61" s="296"/>
      <c r="R61" s="298"/>
      <c r="S61" s="298"/>
      <c r="T61" s="298"/>
      <c r="U61" s="298"/>
      <c r="V61" s="298"/>
      <c r="W61" s="298"/>
      <c r="X61" s="298"/>
      <c r="Y61" s="298"/>
      <c r="Z61" s="298"/>
      <c r="AA61" s="298"/>
      <c r="AB61" s="298"/>
      <c r="AC61" s="298"/>
      <c r="AD61" s="298"/>
      <c r="AE61" s="298"/>
      <c r="AF61" s="298"/>
      <c r="AG61" s="298"/>
    </row>
    <row r="62" spans="1:33">
      <c r="A62" s="298"/>
      <c r="B62" s="129"/>
      <c r="C62" s="309" t="s">
        <v>50</v>
      </c>
      <c r="D62" s="307"/>
      <c r="E62" s="307"/>
      <c r="F62" s="307"/>
      <c r="G62" s="307"/>
      <c r="H62" s="307"/>
      <c r="I62" s="307"/>
      <c r="J62" s="307"/>
      <c r="K62" s="307"/>
      <c r="L62" s="307"/>
      <c r="M62" s="307"/>
      <c r="N62" s="307"/>
      <c r="O62" s="307"/>
      <c r="P62" s="307"/>
      <c r="Q62" s="296"/>
      <c r="R62" s="298"/>
      <c r="S62" s="298"/>
      <c r="T62" s="298"/>
      <c r="U62" s="298"/>
      <c r="V62" s="298"/>
      <c r="W62" s="298"/>
      <c r="X62" s="298"/>
      <c r="Y62" s="298"/>
      <c r="Z62" s="298"/>
      <c r="AA62" s="298"/>
      <c r="AB62" s="298"/>
      <c r="AC62" s="298"/>
      <c r="AD62" s="298"/>
      <c r="AE62" s="298"/>
      <c r="AF62" s="298"/>
      <c r="AG62" s="298"/>
    </row>
    <row r="63" spans="1:33">
      <c r="A63" s="298"/>
      <c r="B63" s="129"/>
      <c r="C63" s="310" t="s">
        <v>51</v>
      </c>
      <c r="D63" s="307"/>
      <c r="E63" s="307"/>
      <c r="F63" s="307"/>
      <c r="G63" s="307"/>
      <c r="H63" s="307"/>
      <c r="I63" s="307"/>
      <c r="J63" s="307"/>
      <c r="K63" s="307"/>
      <c r="L63" s="307"/>
      <c r="M63" s="307"/>
      <c r="N63" s="307"/>
      <c r="O63" s="307"/>
      <c r="P63" s="307"/>
      <c r="Q63" s="296"/>
      <c r="R63" s="298"/>
      <c r="S63" s="298"/>
      <c r="T63" s="298"/>
      <c r="U63" s="298"/>
      <c r="V63" s="298"/>
      <c r="W63" s="298"/>
      <c r="X63" s="298"/>
      <c r="Y63" s="298"/>
      <c r="Z63" s="298"/>
      <c r="AA63" s="298"/>
      <c r="AB63" s="298"/>
      <c r="AC63" s="298"/>
      <c r="AD63" s="298"/>
      <c r="AE63" s="298"/>
      <c r="AF63" s="298"/>
      <c r="AG63" s="298"/>
    </row>
    <row r="64" spans="1:33">
      <c r="A64" s="298"/>
      <c r="B64" s="129"/>
      <c r="C64" s="310" t="s">
        <v>52</v>
      </c>
      <c r="D64" s="307"/>
      <c r="E64" s="307"/>
      <c r="F64" s="307"/>
      <c r="G64" s="307"/>
      <c r="H64" s="307"/>
      <c r="I64" s="307"/>
      <c r="J64" s="307"/>
      <c r="K64" s="307"/>
      <c r="L64" s="307"/>
      <c r="M64" s="307"/>
      <c r="N64" s="307"/>
      <c r="O64" s="307"/>
      <c r="P64" s="307"/>
      <c r="Q64" s="296"/>
      <c r="R64" s="298"/>
      <c r="S64" s="298"/>
      <c r="T64" s="298"/>
      <c r="U64" s="298"/>
      <c r="V64" s="298"/>
      <c r="W64" s="298"/>
      <c r="X64" s="298"/>
      <c r="Y64" s="298"/>
      <c r="Z64" s="298"/>
      <c r="AA64" s="298"/>
      <c r="AB64" s="298"/>
      <c r="AC64" s="298"/>
      <c r="AD64" s="298"/>
      <c r="AE64" s="298"/>
      <c r="AF64" s="298"/>
      <c r="AG64" s="298"/>
    </row>
    <row r="65" spans="1:33">
      <c r="A65" s="298"/>
      <c r="B65" s="129"/>
      <c r="C65" s="310" t="s">
        <v>53</v>
      </c>
      <c r="D65" s="307"/>
      <c r="E65" s="307"/>
      <c r="F65" s="307"/>
      <c r="G65" s="307"/>
      <c r="H65" s="307"/>
      <c r="I65" s="307"/>
      <c r="J65" s="307"/>
      <c r="K65" s="307"/>
      <c r="L65" s="307"/>
      <c r="M65" s="307"/>
      <c r="N65" s="307"/>
      <c r="O65" s="307"/>
      <c r="P65" s="307"/>
      <c r="Q65" s="296"/>
      <c r="R65" s="298"/>
      <c r="S65" s="298"/>
      <c r="T65" s="298"/>
      <c r="U65" s="298"/>
      <c r="V65" s="298"/>
      <c r="W65" s="298"/>
      <c r="X65" s="298"/>
      <c r="Y65" s="298"/>
      <c r="Z65" s="298"/>
      <c r="AA65" s="298"/>
      <c r="AB65" s="298"/>
      <c r="AC65" s="298"/>
      <c r="AD65" s="298"/>
      <c r="AE65" s="298"/>
      <c r="AF65" s="298"/>
      <c r="AG65" s="298"/>
    </row>
    <row r="66" spans="1:33">
      <c r="A66" s="298"/>
      <c r="B66" s="129"/>
      <c r="C66" s="310"/>
      <c r="D66" s="307"/>
      <c r="E66" s="307"/>
      <c r="F66" s="307"/>
      <c r="G66" s="307"/>
      <c r="H66" s="307"/>
      <c r="I66" s="307"/>
      <c r="J66" s="307"/>
      <c r="K66" s="307"/>
      <c r="L66" s="307"/>
      <c r="M66" s="307"/>
      <c r="N66" s="307"/>
      <c r="O66" s="307"/>
      <c r="P66" s="307"/>
      <c r="Q66" s="296"/>
      <c r="R66" s="298"/>
      <c r="S66" s="298"/>
      <c r="T66" s="298"/>
      <c r="U66" s="298"/>
      <c r="V66" s="298"/>
      <c r="W66" s="298"/>
      <c r="X66" s="298"/>
      <c r="Y66" s="298"/>
      <c r="Z66" s="298"/>
      <c r="AA66" s="298"/>
      <c r="AB66" s="298"/>
      <c r="AC66" s="298"/>
      <c r="AD66" s="298"/>
      <c r="AE66" s="298"/>
      <c r="AF66" s="298"/>
      <c r="AG66" s="298"/>
    </row>
    <row r="67" spans="1:33">
      <c r="A67" s="298"/>
      <c r="B67" s="129"/>
      <c r="C67" s="308" t="s">
        <v>13</v>
      </c>
      <c r="D67" s="307"/>
      <c r="E67" s="307"/>
      <c r="F67" s="307"/>
      <c r="G67" s="307"/>
      <c r="H67" s="307"/>
      <c r="I67" s="307"/>
      <c r="J67" s="307"/>
      <c r="K67" s="307"/>
      <c r="L67" s="307"/>
      <c r="M67" s="307"/>
      <c r="N67" s="307"/>
      <c r="O67" s="307"/>
      <c r="P67" s="307"/>
      <c r="Q67" s="296"/>
      <c r="R67" s="298"/>
      <c r="S67" s="298"/>
      <c r="T67" s="298"/>
      <c r="U67" s="298"/>
      <c r="V67" s="298"/>
      <c r="W67" s="298"/>
      <c r="X67" s="298"/>
      <c r="Y67" s="298"/>
      <c r="Z67" s="298"/>
      <c r="AA67" s="298"/>
      <c r="AB67" s="298"/>
      <c r="AC67" s="298"/>
      <c r="AD67" s="298"/>
      <c r="AE67" s="298"/>
      <c r="AF67" s="298"/>
      <c r="AG67" s="298"/>
    </row>
    <row r="68" spans="1:33">
      <c r="A68" s="298"/>
      <c r="B68" s="129"/>
      <c r="C68" s="309" t="s">
        <v>50</v>
      </c>
      <c r="D68" s="307"/>
      <c r="E68" s="307"/>
      <c r="F68" s="307"/>
      <c r="G68" s="307"/>
      <c r="H68" s="307"/>
      <c r="I68" s="307"/>
      <c r="J68" s="307"/>
      <c r="K68" s="307"/>
      <c r="L68" s="307"/>
      <c r="M68" s="307"/>
      <c r="N68" s="307"/>
      <c r="O68" s="307"/>
      <c r="P68" s="307"/>
      <c r="Q68" s="296"/>
      <c r="R68" s="298"/>
      <c r="S68" s="298"/>
      <c r="T68" s="298"/>
      <c r="U68" s="298"/>
      <c r="V68" s="298"/>
      <c r="W68" s="298"/>
      <c r="X68" s="298"/>
      <c r="Y68" s="298"/>
      <c r="Z68" s="298"/>
      <c r="AA68" s="298"/>
      <c r="AB68" s="298"/>
      <c r="AC68" s="298"/>
      <c r="AD68" s="298"/>
      <c r="AE68" s="298"/>
      <c r="AF68" s="298"/>
      <c r="AG68" s="298"/>
    </row>
    <row r="69" spans="1:33">
      <c r="A69" s="298"/>
      <c r="B69" s="129"/>
      <c r="C69" s="310" t="s">
        <v>54</v>
      </c>
      <c r="D69" s="307"/>
      <c r="E69" s="307"/>
      <c r="F69" s="307"/>
      <c r="G69" s="307"/>
      <c r="H69" s="307"/>
      <c r="I69" s="307"/>
      <c r="J69" s="307"/>
      <c r="K69" s="307"/>
      <c r="L69" s="307"/>
      <c r="M69" s="307"/>
      <c r="N69" s="307"/>
      <c r="O69" s="307"/>
      <c r="P69" s="307"/>
      <c r="Q69" s="296"/>
      <c r="R69" s="298"/>
      <c r="S69" s="298"/>
      <c r="T69" s="298"/>
      <c r="U69" s="298"/>
      <c r="V69" s="298"/>
      <c r="W69" s="298"/>
      <c r="X69" s="298"/>
      <c r="Y69" s="298"/>
      <c r="Z69" s="298"/>
      <c r="AA69" s="298"/>
      <c r="AB69" s="298"/>
      <c r="AC69" s="298"/>
      <c r="AD69" s="298"/>
      <c r="AE69" s="298"/>
      <c r="AF69" s="298"/>
      <c r="AG69" s="298"/>
    </row>
    <row r="70" spans="1:33">
      <c r="A70" s="298"/>
      <c r="B70" s="129"/>
      <c r="C70" s="310" t="s">
        <v>55</v>
      </c>
      <c r="D70" s="307"/>
      <c r="E70" s="307"/>
      <c r="F70" s="307"/>
      <c r="G70" s="307"/>
      <c r="H70" s="307"/>
      <c r="I70" s="307"/>
      <c r="J70" s="307"/>
      <c r="K70" s="307"/>
      <c r="L70" s="307"/>
      <c r="M70" s="307"/>
      <c r="N70" s="307"/>
      <c r="O70" s="307"/>
      <c r="P70" s="307"/>
      <c r="Q70" s="296"/>
      <c r="R70" s="298"/>
      <c r="S70" s="298"/>
      <c r="T70" s="298"/>
      <c r="U70" s="298"/>
      <c r="V70" s="298"/>
      <c r="W70" s="298"/>
      <c r="X70" s="298"/>
      <c r="Y70" s="298"/>
      <c r="Z70" s="298"/>
      <c r="AA70" s="298"/>
      <c r="AB70" s="298"/>
      <c r="AC70" s="298"/>
      <c r="AD70" s="298"/>
      <c r="AE70" s="298"/>
      <c r="AF70" s="298"/>
      <c r="AG70" s="298"/>
    </row>
    <row r="71" spans="1:33">
      <c r="A71" s="298"/>
      <c r="B71" s="129"/>
      <c r="C71" s="310"/>
      <c r="D71" s="307"/>
      <c r="E71" s="307"/>
      <c r="F71" s="307"/>
      <c r="G71" s="307"/>
      <c r="H71" s="307"/>
      <c r="I71" s="307"/>
      <c r="J71" s="307"/>
      <c r="K71" s="307"/>
      <c r="L71" s="307"/>
      <c r="M71" s="307"/>
      <c r="N71" s="307"/>
      <c r="O71" s="307"/>
      <c r="P71" s="307"/>
      <c r="Q71" s="296"/>
      <c r="R71" s="298"/>
      <c r="S71" s="298"/>
      <c r="T71" s="298"/>
      <c r="U71" s="298"/>
      <c r="V71" s="298"/>
      <c r="W71" s="298"/>
      <c r="X71" s="298"/>
      <c r="Y71" s="298"/>
      <c r="Z71" s="298"/>
      <c r="AA71" s="298"/>
      <c r="AB71" s="298"/>
      <c r="AC71" s="298"/>
      <c r="AD71" s="298"/>
      <c r="AE71" s="298"/>
      <c r="AF71" s="298"/>
      <c r="AG71" s="298"/>
    </row>
    <row r="72" spans="1:33">
      <c r="A72" s="298"/>
      <c r="B72" s="129"/>
      <c r="C72" s="308" t="s">
        <v>14</v>
      </c>
      <c r="D72" s="307"/>
      <c r="E72" s="307"/>
      <c r="F72" s="307"/>
      <c r="G72" s="307"/>
      <c r="H72" s="307"/>
      <c r="I72" s="307"/>
      <c r="J72" s="307"/>
      <c r="K72" s="307"/>
      <c r="L72" s="307"/>
      <c r="M72" s="307"/>
      <c r="N72" s="307"/>
      <c r="O72" s="307"/>
      <c r="P72" s="307"/>
      <c r="Q72" s="296"/>
      <c r="R72" s="298"/>
      <c r="S72" s="298"/>
      <c r="T72" s="298"/>
      <c r="U72" s="298"/>
      <c r="V72" s="298"/>
      <c r="W72" s="298"/>
      <c r="X72" s="298"/>
      <c r="Y72" s="298"/>
      <c r="Z72" s="298"/>
      <c r="AA72" s="298"/>
      <c r="AB72" s="298"/>
      <c r="AC72" s="298"/>
      <c r="AD72" s="298"/>
      <c r="AE72" s="298"/>
      <c r="AF72" s="298"/>
      <c r="AG72" s="298"/>
    </row>
    <row r="73" spans="1:33">
      <c r="A73" s="298"/>
      <c r="B73" s="129"/>
      <c r="C73" s="309" t="s">
        <v>56</v>
      </c>
      <c r="D73" s="307"/>
      <c r="E73" s="307"/>
      <c r="F73" s="307"/>
      <c r="G73" s="307"/>
      <c r="H73" s="307"/>
      <c r="I73" s="307"/>
      <c r="J73" s="307"/>
      <c r="K73" s="307"/>
      <c r="L73" s="307"/>
      <c r="M73" s="307"/>
      <c r="N73" s="307"/>
      <c r="O73" s="307"/>
      <c r="P73" s="307"/>
      <c r="Q73" s="296"/>
      <c r="R73" s="298"/>
      <c r="S73" s="298"/>
      <c r="T73" s="298"/>
      <c r="U73" s="298"/>
      <c r="V73" s="298"/>
      <c r="W73" s="298"/>
      <c r="X73" s="298"/>
      <c r="Y73" s="298"/>
      <c r="Z73" s="298"/>
      <c r="AA73" s="298"/>
      <c r="AB73" s="298"/>
      <c r="AC73" s="298"/>
      <c r="AD73" s="298"/>
      <c r="AE73" s="298"/>
      <c r="AF73" s="298"/>
      <c r="AG73" s="298"/>
    </row>
    <row r="74" spans="1:33">
      <c r="A74" s="298"/>
      <c r="B74" s="129"/>
      <c r="C74" s="310" t="s">
        <v>57</v>
      </c>
      <c r="D74" s="307"/>
      <c r="E74" s="307"/>
      <c r="F74" s="307"/>
      <c r="G74" s="307"/>
      <c r="H74" s="307"/>
      <c r="I74" s="307"/>
      <c r="J74" s="307"/>
      <c r="K74" s="307"/>
      <c r="L74" s="307"/>
      <c r="M74" s="307"/>
      <c r="N74" s="307"/>
      <c r="O74" s="307"/>
      <c r="P74" s="307"/>
      <c r="Q74" s="296"/>
      <c r="R74" s="298"/>
      <c r="S74" s="298"/>
      <c r="T74" s="298"/>
      <c r="U74" s="298"/>
      <c r="V74" s="298"/>
      <c r="W74" s="298"/>
      <c r="X74" s="298"/>
      <c r="Y74" s="298"/>
      <c r="Z74" s="298"/>
      <c r="AA74" s="298"/>
      <c r="AB74" s="298"/>
      <c r="AC74" s="298"/>
      <c r="AD74" s="298"/>
      <c r="AE74" s="298"/>
      <c r="AF74" s="298"/>
      <c r="AG74" s="298"/>
    </row>
    <row r="75" spans="1:33" ht="15" customHeight="1">
      <c r="A75" s="298"/>
      <c r="B75" s="129"/>
      <c r="C75" s="307"/>
      <c r="D75" s="307"/>
      <c r="E75" s="307"/>
      <c r="F75" s="307"/>
      <c r="G75" s="307"/>
      <c r="H75" s="307"/>
      <c r="I75" s="307"/>
      <c r="J75" s="307"/>
      <c r="K75" s="307"/>
      <c r="L75" s="307"/>
      <c r="M75" s="307"/>
      <c r="N75" s="307"/>
      <c r="O75" s="307"/>
      <c r="P75" s="307"/>
      <c r="Q75" s="296"/>
      <c r="R75" s="298"/>
      <c r="S75" s="298"/>
      <c r="T75" s="298"/>
      <c r="U75" s="298"/>
      <c r="V75" s="298"/>
      <c r="W75" s="298"/>
      <c r="X75" s="298"/>
      <c r="Y75" s="298"/>
      <c r="Z75" s="298"/>
      <c r="AA75" s="298"/>
      <c r="AB75" s="298"/>
      <c r="AC75" s="298"/>
      <c r="AD75" s="298"/>
      <c r="AE75" s="298"/>
      <c r="AF75" s="298"/>
      <c r="AG75" s="298"/>
    </row>
    <row r="76" spans="1:33">
      <c r="A76" s="298"/>
      <c r="B76" s="129"/>
      <c r="C76" s="308" t="s">
        <v>59</v>
      </c>
      <c r="D76" s="307"/>
      <c r="E76" s="307"/>
      <c r="F76" s="307"/>
      <c r="G76" s="307"/>
      <c r="H76" s="307"/>
      <c r="I76" s="307"/>
      <c r="J76" s="307"/>
      <c r="K76" s="307"/>
      <c r="L76" s="307"/>
      <c r="M76" s="307"/>
      <c r="N76" s="307"/>
      <c r="O76" s="307"/>
      <c r="P76" s="307"/>
      <c r="Q76" s="296"/>
      <c r="R76" s="298"/>
      <c r="S76" s="298"/>
      <c r="T76" s="298"/>
      <c r="U76" s="298"/>
      <c r="V76" s="298"/>
      <c r="W76" s="298"/>
      <c r="X76" s="298"/>
      <c r="Y76" s="298"/>
      <c r="Z76" s="298"/>
      <c r="AA76" s="298"/>
      <c r="AB76" s="298"/>
      <c r="AC76" s="298"/>
      <c r="AD76" s="298"/>
      <c r="AE76" s="298"/>
      <c r="AF76" s="298"/>
      <c r="AG76" s="298"/>
    </row>
    <row r="77" spans="1:33">
      <c r="A77" s="298"/>
      <c r="B77" s="129"/>
      <c r="C77" s="309" t="s">
        <v>469</v>
      </c>
      <c r="D77" s="307"/>
      <c r="E77" s="307"/>
      <c r="F77" s="307"/>
      <c r="G77" s="307"/>
      <c r="H77" s="307"/>
      <c r="I77" s="307"/>
      <c r="J77" s="307"/>
      <c r="K77" s="307"/>
      <c r="L77" s="307"/>
      <c r="M77" s="307"/>
      <c r="N77" s="307"/>
      <c r="O77" s="307"/>
      <c r="P77" s="307"/>
      <c r="Q77" s="296"/>
      <c r="R77" s="298"/>
      <c r="S77" s="298"/>
      <c r="T77" s="298"/>
      <c r="U77" s="298"/>
      <c r="V77" s="298"/>
      <c r="W77" s="298"/>
      <c r="X77" s="298"/>
      <c r="Y77" s="298"/>
      <c r="Z77" s="298"/>
      <c r="AA77" s="298"/>
      <c r="AB77" s="298"/>
      <c r="AC77" s="298"/>
      <c r="AD77" s="298"/>
      <c r="AE77" s="298"/>
      <c r="AF77" s="298"/>
      <c r="AG77" s="298"/>
    </row>
    <row r="78" spans="1:33">
      <c r="A78" s="298"/>
      <c r="B78" s="129"/>
      <c r="C78" s="309" t="s">
        <v>470</v>
      </c>
      <c r="D78" s="307"/>
      <c r="E78" s="307"/>
      <c r="F78" s="307"/>
      <c r="G78" s="307"/>
      <c r="H78" s="307"/>
      <c r="I78" s="307"/>
      <c r="J78" s="307"/>
      <c r="K78" s="307"/>
      <c r="L78" s="307"/>
      <c r="M78" s="307"/>
      <c r="N78" s="307"/>
      <c r="O78" s="307"/>
      <c r="P78" s="307"/>
      <c r="Q78" s="296"/>
      <c r="R78" s="298"/>
      <c r="S78" s="298"/>
      <c r="T78" s="298"/>
      <c r="U78" s="298"/>
      <c r="V78" s="298"/>
      <c r="W78" s="298"/>
      <c r="X78" s="298"/>
      <c r="Y78" s="298"/>
      <c r="Z78" s="298"/>
      <c r="AA78" s="298"/>
      <c r="AB78" s="298"/>
      <c r="AC78" s="298"/>
      <c r="AD78" s="298"/>
      <c r="AE78" s="298"/>
      <c r="AF78" s="298"/>
      <c r="AG78" s="298"/>
    </row>
    <row r="79" spans="1:33">
      <c r="A79" s="298"/>
      <c r="B79" s="129"/>
      <c r="C79" s="310"/>
      <c r="D79" s="307"/>
      <c r="E79" s="307"/>
      <c r="F79" s="307"/>
      <c r="G79" s="307"/>
      <c r="H79" s="307"/>
      <c r="I79" s="307"/>
      <c r="J79" s="307"/>
      <c r="K79" s="307"/>
      <c r="L79" s="307"/>
      <c r="M79" s="307"/>
      <c r="N79" s="307"/>
      <c r="O79" s="307"/>
      <c r="P79" s="307"/>
      <c r="Q79" s="296"/>
      <c r="R79" s="298"/>
      <c r="S79" s="298"/>
      <c r="T79" s="298"/>
      <c r="U79" s="298"/>
      <c r="V79" s="298"/>
      <c r="W79" s="298"/>
      <c r="X79" s="298"/>
      <c r="Y79" s="298"/>
      <c r="Z79" s="298"/>
      <c r="AA79" s="298"/>
      <c r="AB79" s="298"/>
      <c r="AC79" s="298"/>
      <c r="AD79" s="298"/>
      <c r="AE79" s="298"/>
      <c r="AF79" s="298"/>
      <c r="AG79" s="298"/>
    </row>
    <row r="80" spans="1:33">
      <c r="A80" s="298"/>
      <c r="B80" s="129"/>
      <c r="C80" s="308" t="s">
        <v>418</v>
      </c>
      <c r="D80" s="307"/>
      <c r="E80" s="307"/>
      <c r="F80" s="307"/>
      <c r="G80" s="307"/>
      <c r="H80" s="307"/>
      <c r="I80" s="307"/>
      <c r="J80" s="307"/>
      <c r="K80" s="307"/>
      <c r="L80" s="307"/>
      <c r="M80" s="307"/>
      <c r="N80" s="307"/>
      <c r="O80" s="307"/>
      <c r="P80" s="307"/>
      <c r="Q80" s="296"/>
      <c r="R80" s="298"/>
      <c r="S80" s="298"/>
      <c r="T80" s="298"/>
      <c r="U80" s="298"/>
      <c r="V80" s="298"/>
      <c r="W80" s="298"/>
      <c r="X80" s="298"/>
      <c r="Y80" s="298"/>
      <c r="Z80" s="298"/>
      <c r="AA80" s="298"/>
      <c r="AB80" s="298"/>
      <c r="AC80" s="298"/>
      <c r="AD80" s="298"/>
      <c r="AE80" s="298"/>
      <c r="AF80" s="298"/>
      <c r="AG80" s="298"/>
    </row>
    <row r="81" spans="1:33">
      <c r="A81" s="298"/>
      <c r="B81" s="129"/>
      <c r="C81" s="309" t="s">
        <v>453</v>
      </c>
      <c r="D81" s="307"/>
      <c r="E81" s="307"/>
      <c r="F81" s="307"/>
      <c r="G81" s="307"/>
      <c r="H81" s="307"/>
      <c r="I81" s="307"/>
      <c r="J81" s="307"/>
      <c r="K81" s="307"/>
      <c r="L81" s="307"/>
      <c r="M81" s="307"/>
      <c r="N81" s="307"/>
      <c r="O81" s="307"/>
      <c r="P81" s="307"/>
      <c r="Q81" s="296"/>
      <c r="R81" s="298"/>
      <c r="S81" s="298"/>
      <c r="T81" s="298"/>
      <c r="U81" s="298"/>
      <c r="V81" s="298"/>
      <c r="W81" s="298"/>
      <c r="X81" s="298"/>
      <c r="Y81" s="298"/>
      <c r="Z81" s="298"/>
      <c r="AA81" s="298"/>
      <c r="AB81" s="298"/>
      <c r="AC81" s="298"/>
      <c r="AD81" s="298"/>
      <c r="AE81" s="298"/>
      <c r="AF81" s="298"/>
      <c r="AG81" s="298"/>
    </row>
    <row r="82" spans="1:33" s="234" customFormat="1">
      <c r="A82" s="300"/>
      <c r="B82" s="129"/>
      <c r="C82" s="311" t="s">
        <v>465</v>
      </c>
      <c r="D82" s="312"/>
      <c r="E82" s="312"/>
      <c r="F82" s="312"/>
      <c r="G82" s="312"/>
      <c r="H82" s="312"/>
      <c r="I82" s="312"/>
      <c r="J82" s="312"/>
      <c r="K82" s="312"/>
      <c r="L82" s="312"/>
      <c r="M82" s="312"/>
      <c r="N82" s="312"/>
      <c r="O82" s="312"/>
      <c r="P82" s="312"/>
      <c r="Q82" s="297"/>
      <c r="R82" s="300"/>
      <c r="S82" s="300"/>
      <c r="T82" s="300"/>
      <c r="U82" s="300"/>
      <c r="V82" s="300"/>
      <c r="W82" s="300"/>
      <c r="X82" s="300"/>
      <c r="Y82" s="300"/>
      <c r="Z82" s="300"/>
      <c r="AA82" s="300"/>
      <c r="AB82" s="300"/>
      <c r="AC82" s="300"/>
      <c r="AD82" s="300"/>
      <c r="AE82" s="300"/>
      <c r="AF82" s="300"/>
      <c r="AG82" s="300"/>
    </row>
    <row r="83" spans="1:33" s="234" customFormat="1">
      <c r="A83" s="300"/>
      <c r="B83" s="233"/>
      <c r="C83" s="307"/>
      <c r="D83" s="312"/>
      <c r="E83" s="312"/>
      <c r="F83" s="312"/>
      <c r="G83" s="312"/>
      <c r="H83" s="312"/>
      <c r="I83" s="312"/>
      <c r="J83" s="312"/>
      <c r="K83" s="312"/>
      <c r="L83" s="312"/>
      <c r="M83" s="312"/>
      <c r="N83" s="312"/>
      <c r="O83" s="312"/>
      <c r="P83" s="312"/>
      <c r="Q83" s="297"/>
      <c r="R83" s="300"/>
      <c r="S83" s="300"/>
      <c r="T83" s="300"/>
      <c r="U83" s="300"/>
      <c r="V83" s="300"/>
      <c r="W83" s="300"/>
      <c r="X83" s="300"/>
      <c r="Y83" s="300"/>
      <c r="Z83" s="300"/>
      <c r="AA83" s="300"/>
      <c r="AB83" s="300"/>
      <c r="AC83" s="300"/>
      <c r="AD83" s="300"/>
      <c r="AE83" s="300"/>
      <c r="AF83" s="300"/>
      <c r="AG83" s="300"/>
    </row>
    <row r="84" spans="1:33">
      <c r="A84" s="298"/>
      <c r="B84" s="129"/>
      <c r="C84" s="308" t="s">
        <v>60</v>
      </c>
      <c r="D84" s="307"/>
      <c r="E84" s="307"/>
      <c r="F84" s="307"/>
      <c r="G84" s="307"/>
      <c r="H84" s="307"/>
      <c r="I84" s="307"/>
      <c r="J84" s="307"/>
      <c r="K84" s="307"/>
      <c r="L84" s="307"/>
      <c r="M84" s="307"/>
      <c r="N84" s="307"/>
      <c r="O84" s="307"/>
      <c r="P84" s="307"/>
      <c r="Q84" s="296"/>
      <c r="R84" s="298"/>
      <c r="S84" s="298"/>
      <c r="T84" s="298"/>
      <c r="U84" s="298"/>
      <c r="V84" s="298"/>
      <c r="W84" s="298"/>
      <c r="X84" s="298"/>
      <c r="Y84" s="298"/>
      <c r="Z84" s="298"/>
      <c r="AA84" s="298"/>
      <c r="AB84" s="298"/>
      <c r="AC84" s="298"/>
      <c r="AD84" s="298"/>
      <c r="AE84" s="298"/>
      <c r="AF84" s="298"/>
      <c r="AG84" s="298"/>
    </row>
    <row r="85" spans="1:33">
      <c r="A85" s="298"/>
      <c r="B85" s="129"/>
      <c r="C85" s="309" t="s">
        <v>467</v>
      </c>
      <c r="D85" s="307"/>
      <c r="E85" s="307"/>
      <c r="F85" s="307"/>
      <c r="G85" s="307"/>
      <c r="H85" s="307"/>
      <c r="I85" s="307"/>
      <c r="J85" s="307"/>
      <c r="K85" s="307"/>
      <c r="L85" s="307"/>
      <c r="M85" s="307"/>
      <c r="N85" s="307"/>
      <c r="O85" s="307"/>
      <c r="P85" s="307"/>
      <c r="Q85" s="296"/>
      <c r="R85" s="298"/>
      <c r="S85" s="298"/>
      <c r="T85" s="298"/>
      <c r="U85" s="298"/>
      <c r="V85" s="298"/>
      <c r="W85" s="298"/>
      <c r="X85" s="298"/>
      <c r="Y85" s="298"/>
      <c r="Z85" s="298"/>
      <c r="AA85" s="298"/>
      <c r="AB85" s="298"/>
      <c r="AC85" s="298"/>
      <c r="AD85" s="298"/>
      <c r="AE85" s="298"/>
      <c r="AF85" s="298"/>
      <c r="AG85" s="298"/>
    </row>
    <row r="86" spans="1:33">
      <c r="A86" s="298"/>
      <c r="B86" s="129"/>
      <c r="C86" s="129"/>
      <c r="D86" s="129"/>
      <c r="E86" s="129"/>
      <c r="F86" s="129"/>
      <c r="G86" s="129"/>
      <c r="H86" s="129"/>
      <c r="I86" s="129"/>
      <c r="J86" s="129"/>
      <c r="K86" s="129"/>
      <c r="L86" s="129"/>
      <c r="M86" s="129"/>
      <c r="N86" s="129"/>
      <c r="O86" s="129"/>
      <c r="P86" s="129"/>
      <c r="Q86" s="296"/>
      <c r="R86" s="298"/>
      <c r="S86" s="298"/>
      <c r="T86" s="298"/>
      <c r="U86" s="298"/>
      <c r="V86" s="298"/>
      <c r="W86" s="298"/>
      <c r="X86" s="298"/>
      <c r="Y86" s="298"/>
      <c r="Z86" s="298"/>
      <c r="AA86" s="298"/>
      <c r="AB86" s="298"/>
      <c r="AC86" s="298"/>
      <c r="AD86" s="298"/>
      <c r="AE86" s="298"/>
      <c r="AF86" s="298"/>
      <c r="AG86" s="298"/>
    </row>
    <row r="87" spans="1:33">
      <c r="A87" s="298"/>
      <c r="B87" s="129"/>
      <c r="C87" s="129"/>
      <c r="D87" s="129"/>
      <c r="E87" s="129"/>
      <c r="F87" s="129"/>
      <c r="G87" s="129"/>
      <c r="H87" s="129"/>
      <c r="I87" s="129"/>
      <c r="J87" s="129"/>
      <c r="K87" s="129"/>
      <c r="L87" s="129"/>
      <c r="M87" s="129"/>
      <c r="N87" s="129"/>
      <c r="O87" s="129"/>
      <c r="P87" s="129"/>
      <c r="Q87" s="296"/>
      <c r="R87" s="298"/>
      <c r="S87" s="298"/>
      <c r="T87" s="298"/>
      <c r="U87" s="298"/>
      <c r="V87" s="298"/>
      <c r="W87" s="298"/>
      <c r="X87" s="298"/>
      <c r="Y87" s="298"/>
      <c r="Z87" s="298"/>
      <c r="AA87" s="298"/>
      <c r="AB87" s="298"/>
      <c r="AC87" s="298"/>
      <c r="AD87" s="298"/>
      <c r="AE87" s="298"/>
      <c r="AF87" s="298"/>
      <c r="AG87" s="298"/>
    </row>
    <row r="88" spans="1:33">
      <c r="A88" s="298"/>
      <c r="B88" s="129"/>
      <c r="C88" s="129"/>
      <c r="D88" s="129"/>
      <c r="E88" s="129"/>
      <c r="F88" s="129"/>
      <c r="G88" s="129"/>
      <c r="H88" s="129"/>
      <c r="I88" s="129"/>
      <c r="J88" s="129"/>
      <c r="K88" s="129"/>
      <c r="L88" s="129"/>
      <c r="M88" s="129"/>
      <c r="N88" s="129"/>
      <c r="O88" s="129"/>
      <c r="P88" s="129"/>
      <c r="Q88" s="296"/>
      <c r="R88" s="298"/>
      <c r="S88" s="298"/>
      <c r="T88" s="298"/>
      <c r="U88" s="298"/>
      <c r="V88" s="298"/>
      <c r="W88" s="298"/>
      <c r="X88" s="298"/>
      <c r="Y88" s="298"/>
      <c r="Z88" s="298"/>
      <c r="AA88" s="298"/>
      <c r="AB88" s="298"/>
      <c r="AC88" s="298"/>
      <c r="AD88" s="298"/>
      <c r="AE88" s="298"/>
      <c r="AF88" s="298"/>
      <c r="AG88" s="298"/>
    </row>
    <row r="89" spans="1:33" ht="42" customHeight="1">
      <c r="A89" s="298"/>
      <c r="B89" s="129"/>
      <c r="C89" s="316" t="s">
        <v>463</v>
      </c>
      <c r="D89" s="316"/>
      <c r="E89" s="316"/>
      <c r="F89" s="316"/>
      <c r="G89" s="316"/>
      <c r="H89" s="316"/>
      <c r="I89" s="316"/>
      <c r="J89" s="316"/>
      <c r="K89" s="316"/>
      <c r="L89" s="316"/>
      <c r="M89" s="316"/>
      <c r="N89" s="316"/>
      <c r="O89" s="316"/>
      <c r="P89" s="316"/>
      <c r="Q89" s="134"/>
      <c r="R89" s="301"/>
      <c r="S89" s="301"/>
      <c r="T89" s="301"/>
      <c r="U89" s="301"/>
      <c r="V89" s="301"/>
      <c r="W89" s="301"/>
      <c r="X89" s="301"/>
      <c r="Y89" s="298"/>
      <c r="Z89" s="298"/>
      <c r="AA89" s="298"/>
      <c r="AB89" s="298"/>
      <c r="AC89" s="298"/>
      <c r="AD89" s="298"/>
      <c r="AE89" s="298"/>
      <c r="AF89" s="298"/>
      <c r="AG89" s="298"/>
    </row>
    <row r="90" spans="1:33" ht="15" customHeight="1">
      <c r="A90" s="298"/>
      <c r="B90" s="129"/>
      <c r="C90" s="295" t="s">
        <v>464</v>
      </c>
      <c r="D90" s="133"/>
      <c r="E90" s="134"/>
      <c r="F90" s="134"/>
      <c r="G90" s="134"/>
      <c r="H90" s="134"/>
      <c r="I90" s="134"/>
      <c r="J90" s="134"/>
      <c r="K90" s="134"/>
      <c r="L90" s="134"/>
      <c r="M90" s="134"/>
      <c r="N90" s="134"/>
      <c r="O90" s="134"/>
      <c r="P90" s="304"/>
      <c r="Q90" s="134"/>
      <c r="R90" s="301"/>
      <c r="S90" s="301"/>
      <c r="T90" s="301"/>
      <c r="U90" s="301"/>
      <c r="V90" s="301"/>
      <c r="W90" s="301"/>
      <c r="X90" s="301"/>
      <c r="Y90" s="298"/>
      <c r="Z90" s="298"/>
      <c r="AA90" s="298"/>
      <c r="AB90" s="298"/>
      <c r="AC90" s="298"/>
      <c r="AD90" s="298"/>
      <c r="AE90" s="298"/>
      <c r="AF90" s="298"/>
      <c r="AG90" s="298"/>
    </row>
    <row r="91" spans="1:33" ht="36.75" customHeight="1">
      <c r="A91" s="298"/>
      <c r="B91" s="129"/>
      <c r="C91" s="316" t="s">
        <v>462</v>
      </c>
      <c r="D91" s="316"/>
      <c r="E91" s="316"/>
      <c r="F91" s="316"/>
      <c r="G91" s="316"/>
      <c r="H91" s="316"/>
      <c r="I91" s="316"/>
      <c r="J91" s="316"/>
      <c r="K91" s="316"/>
      <c r="L91" s="316"/>
      <c r="M91" s="316"/>
      <c r="N91" s="316"/>
      <c r="O91" s="316"/>
      <c r="P91" s="316"/>
      <c r="Q91" s="134"/>
      <c r="R91" s="301"/>
      <c r="S91" s="301"/>
      <c r="T91" s="301"/>
      <c r="U91" s="301"/>
      <c r="V91" s="301"/>
      <c r="W91" s="301"/>
      <c r="X91" s="301"/>
      <c r="Y91" s="298"/>
      <c r="Z91" s="298"/>
      <c r="AA91" s="298"/>
      <c r="AB91" s="298"/>
      <c r="AC91" s="298"/>
      <c r="AD91" s="298"/>
      <c r="AE91" s="298"/>
      <c r="AF91" s="298"/>
      <c r="AG91" s="298"/>
    </row>
    <row r="92" spans="1:33" ht="12.75" customHeight="1">
      <c r="A92" s="298"/>
      <c r="B92" s="129"/>
      <c r="C92" s="135" t="s">
        <v>468</v>
      </c>
      <c r="D92" s="133"/>
      <c r="E92" s="134"/>
      <c r="F92" s="134"/>
      <c r="G92" s="134"/>
      <c r="H92" s="134"/>
      <c r="I92" s="134"/>
      <c r="J92" s="134"/>
      <c r="K92" s="134"/>
      <c r="L92" s="134"/>
      <c r="M92" s="134"/>
      <c r="N92" s="134"/>
      <c r="O92" s="134"/>
      <c r="P92" s="304"/>
      <c r="Q92" s="134"/>
      <c r="R92" s="301"/>
      <c r="S92" s="301"/>
      <c r="T92" s="301"/>
      <c r="U92" s="301"/>
      <c r="V92" s="301"/>
      <c r="W92" s="301"/>
      <c r="X92" s="301"/>
      <c r="Y92" s="298"/>
      <c r="Z92" s="298"/>
      <c r="AA92" s="298"/>
      <c r="AB92" s="298"/>
      <c r="AC92" s="298"/>
      <c r="AD92" s="298"/>
      <c r="AE92" s="298"/>
      <c r="AF92" s="298"/>
      <c r="AG92" s="298"/>
    </row>
    <row r="93" spans="1:33" ht="44.25" customHeight="1">
      <c r="A93" s="298"/>
      <c r="B93" s="129"/>
      <c r="C93" s="316" t="s">
        <v>63</v>
      </c>
      <c r="D93" s="316"/>
      <c r="E93" s="316"/>
      <c r="F93" s="316"/>
      <c r="G93" s="316"/>
      <c r="H93" s="316"/>
      <c r="I93" s="316"/>
      <c r="J93" s="316"/>
      <c r="K93" s="316"/>
      <c r="L93" s="316"/>
      <c r="M93" s="316"/>
      <c r="N93" s="316"/>
      <c r="O93" s="316"/>
      <c r="P93" s="316"/>
      <c r="Q93" s="134"/>
      <c r="R93" s="301"/>
      <c r="S93" s="301"/>
      <c r="T93" s="313"/>
      <c r="U93" s="301"/>
      <c r="V93" s="301"/>
      <c r="W93" s="301"/>
      <c r="X93" s="301"/>
      <c r="Y93" s="298"/>
      <c r="Z93" s="298"/>
      <c r="AA93" s="298"/>
      <c r="AB93" s="298"/>
      <c r="AC93" s="298"/>
      <c r="AD93" s="298"/>
      <c r="AE93" s="298"/>
      <c r="AF93" s="298"/>
      <c r="AG93" s="298"/>
    </row>
    <row r="94" spans="1:33" ht="15.75" customHeight="1">
      <c r="A94" s="298"/>
      <c r="B94" s="129"/>
      <c r="C94" s="135" t="s">
        <v>61</v>
      </c>
      <c r="D94" s="133"/>
      <c r="E94" s="134"/>
      <c r="F94" s="134"/>
      <c r="G94" s="134"/>
      <c r="H94" s="134"/>
      <c r="I94" s="134"/>
      <c r="J94" s="134"/>
      <c r="K94" s="134"/>
      <c r="L94" s="134"/>
      <c r="M94" s="134"/>
      <c r="N94" s="134"/>
      <c r="O94" s="134"/>
      <c r="P94" s="134"/>
      <c r="Q94" s="134"/>
      <c r="R94" s="301"/>
      <c r="S94" s="301"/>
      <c r="T94" s="301"/>
      <c r="U94" s="301"/>
      <c r="V94" s="301"/>
      <c r="W94" s="301"/>
      <c r="X94" s="301"/>
      <c r="Y94" s="298"/>
      <c r="Z94" s="298"/>
      <c r="AA94" s="298"/>
      <c r="AB94" s="298"/>
      <c r="AC94" s="298"/>
      <c r="AD94" s="298"/>
      <c r="AE94" s="298"/>
      <c r="AF94" s="298"/>
      <c r="AG94" s="298"/>
    </row>
    <row r="95" spans="1:33" ht="46.5" customHeight="1">
      <c r="A95" s="298"/>
      <c r="B95" s="129"/>
      <c r="C95" s="316" t="s">
        <v>64</v>
      </c>
      <c r="D95" s="316"/>
      <c r="E95" s="316"/>
      <c r="F95" s="316"/>
      <c r="G95" s="316"/>
      <c r="H95" s="316"/>
      <c r="I95" s="316"/>
      <c r="J95" s="316"/>
      <c r="K95" s="316"/>
      <c r="L95" s="316"/>
      <c r="M95" s="316"/>
      <c r="N95" s="316"/>
      <c r="O95" s="316"/>
      <c r="P95" s="316"/>
      <c r="Q95" s="134"/>
      <c r="R95" s="301"/>
      <c r="S95" s="301"/>
      <c r="T95" s="301"/>
      <c r="U95" s="301"/>
      <c r="V95" s="301"/>
      <c r="W95" s="301"/>
      <c r="X95" s="301"/>
      <c r="Y95" s="298"/>
      <c r="Z95" s="298"/>
      <c r="AA95" s="298"/>
      <c r="AB95" s="298"/>
      <c r="AC95" s="298"/>
      <c r="AD95" s="298"/>
      <c r="AE95" s="298"/>
      <c r="AF95" s="298"/>
      <c r="AG95" s="298"/>
    </row>
    <row r="96" spans="1:33" ht="12.75" customHeight="1">
      <c r="A96" s="298"/>
      <c r="B96" s="129"/>
      <c r="C96" s="135" t="s">
        <v>62</v>
      </c>
      <c r="D96" s="133"/>
      <c r="E96" s="134"/>
      <c r="F96" s="134"/>
      <c r="G96" s="134"/>
      <c r="H96" s="134"/>
      <c r="I96" s="134"/>
      <c r="J96" s="134"/>
      <c r="K96" s="134"/>
      <c r="L96" s="134"/>
      <c r="M96" s="134"/>
      <c r="N96" s="134"/>
      <c r="O96" s="134"/>
      <c r="P96" s="134"/>
      <c r="Q96" s="134"/>
      <c r="R96" s="301"/>
      <c r="S96" s="314"/>
      <c r="T96" s="301"/>
      <c r="U96" s="301"/>
      <c r="V96" s="301"/>
      <c r="W96" s="301"/>
      <c r="X96" s="301"/>
      <c r="Y96" s="298"/>
      <c r="Z96" s="298"/>
      <c r="AA96" s="298"/>
      <c r="AB96" s="298"/>
      <c r="AC96" s="298"/>
      <c r="AD96" s="298"/>
      <c r="AE96" s="298"/>
      <c r="AF96" s="298"/>
      <c r="AG96" s="298"/>
    </row>
    <row r="97" spans="1:33" ht="12.75" customHeight="1">
      <c r="A97" s="298"/>
      <c r="B97" s="129"/>
      <c r="C97" s="135"/>
      <c r="D97" s="133"/>
      <c r="E97" s="134"/>
      <c r="F97" s="134"/>
      <c r="G97" s="134"/>
      <c r="H97" s="134"/>
      <c r="I97" s="134"/>
      <c r="J97" s="134"/>
      <c r="K97" s="134"/>
      <c r="L97" s="134"/>
      <c r="M97" s="134"/>
      <c r="N97" s="134"/>
      <c r="O97" s="134"/>
      <c r="P97" s="134"/>
      <c r="Q97" s="134"/>
      <c r="R97" s="301"/>
      <c r="S97" s="314"/>
      <c r="T97" s="301"/>
      <c r="U97" s="301"/>
      <c r="V97" s="301"/>
      <c r="W97" s="301"/>
      <c r="X97" s="301"/>
      <c r="Y97" s="298"/>
      <c r="Z97" s="298"/>
      <c r="AA97" s="298"/>
      <c r="AB97" s="298"/>
      <c r="AC97" s="298"/>
      <c r="AD97" s="298"/>
      <c r="AE97" s="298"/>
      <c r="AF97" s="298"/>
      <c r="AG97" s="298"/>
    </row>
    <row r="98" spans="1:33" ht="9" customHeight="1">
      <c r="A98" s="298"/>
      <c r="B98" s="298"/>
      <c r="C98" s="298"/>
      <c r="D98" s="298"/>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row>
    <row r="103" spans="1:33">
      <c r="C103" s="130"/>
    </row>
    <row r="104" spans="1:33">
      <c r="C104" s="131"/>
    </row>
    <row r="105" spans="1:33">
      <c r="C105" s="131"/>
    </row>
    <row r="106" spans="1:33">
      <c r="C106" s="131"/>
    </row>
    <row r="107" spans="1:33">
      <c r="C107" s="130"/>
    </row>
    <row r="108" spans="1:33">
      <c r="C108" s="131"/>
    </row>
    <row r="109" spans="1:33">
      <c r="C109" s="131"/>
    </row>
    <row r="110" spans="1:33">
      <c r="C110" s="130"/>
    </row>
    <row r="111" spans="1:33">
      <c r="C111" s="132"/>
    </row>
    <row r="112" spans="1:33">
      <c r="C112" s="132"/>
    </row>
    <row r="113" spans="3:3">
      <c r="C113" s="132"/>
    </row>
    <row r="114" spans="3:3">
      <c r="C114" s="132"/>
    </row>
    <row r="115" spans="3:3">
      <c r="C115" s="132"/>
    </row>
    <row r="116" spans="3:3">
      <c r="C116" s="132"/>
    </row>
    <row r="117" spans="3:3">
      <c r="C117" s="132"/>
    </row>
  </sheetData>
  <mergeCells count="4">
    <mergeCell ref="C89:P89"/>
    <mergeCell ref="C91:P91"/>
    <mergeCell ref="C93:P93"/>
    <mergeCell ref="C95:P95"/>
  </mergeCells>
  <hyperlinks>
    <hyperlink ref="C62" r:id="rId1" xr:uid="{4DDF9F00-1A21-4CD4-9315-CCA63C0C3BEE}"/>
    <hyperlink ref="C68" r:id="rId2" xr:uid="{043A4218-806F-4E24-BFFC-8ED8112B6304}"/>
    <hyperlink ref="C73" r:id="rId3" display="https://doi.org/10.1093/ije/dyy253" xr:uid="{ADC62075-82DE-4230-AAA2-EE53932AE571}"/>
    <hyperlink ref="C77" r:id="rId4" xr:uid="{6F5EFA3C-3DA5-44A8-9A5E-7AA3EA1AEF73}"/>
    <hyperlink ref="C78" r:id="rId5" xr:uid="{6256FCF1-9490-428E-A3F5-B6BC4245C950}"/>
    <hyperlink ref="C81" r:id="rId6" display="https://doi.org/10.1016/S0140-6736(22)00937-0" xr:uid="{C2F47B8A-BFA0-4267-932A-04AD041A080B}"/>
    <hyperlink ref="C85" r:id="rId7" xr:uid="{FD6491F4-A7C2-452A-B90E-8C686EC0503F}"/>
    <hyperlink ref="C94" r:id="rId8" xr:uid="{8A44EF28-6147-4C55-A353-17CF20D345D9}"/>
    <hyperlink ref="C96" r:id="rId9" display="https://doi.org/10.1016/j.ijheh.2019.05.004" xr:uid="{A1A9B7AF-C1C9-4EE1-9E0C-9B4F6ED73BC7}"/>
    <hyperlink ref="C55" r:id="rId10" xr:uid="{4D7DAC3C-7728-4360-9253-26061B3D45E5}"/>
    <hyperlink ref="C92" r:id="rId11" xr:uid="{3AE59843-899F-415F-85AD-469B98CBB5F4}"/>
    <hyperlink ref="C90" r:id="rId12" xr:uid="{0E5A04BF-0EB0-424E-9B4A-4EC03DF3CAD7}"/>
    <hyperlink ref="C82" r:id="rId13" xr:uid="{64FEB6CD-0EAA-4A18-8740-DB31D5398323}"/>
  </hyperlinks>
  <pageMargins left="0.7" right="0.7"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EB17F-E936-403B-A767-DE06B845EB4C}">
  <sheetPr>
    <tabColor theme="5" tint="0.79998168889431442"/>
    <pageSetUpPr fitToPage="1"/>
  </sheetPr>
  <dimension ref="A1:Y128"/>
  <sheetViews>
    <sheetView zoomScale="80" zoomScaleNormal="80" workbookViewId="0">
      <selection activeCell="C4" sqref="C4:D4"/>
    </sheetView>
  </sheetViews>
  <sheetFormatPr defaultColWidth="10.140625" defaultRowHeight="15.75" outlineLevelRow="1"/>
  <cols>
    <col min="1" max="1" width="3.42578125" style="26" customWidth="1"/>
    <col min="2" max="2" width="80.28515625" style="3" customWidth="1"/>
    <col min="3" max="3" width="15.7109375" style="3" customWidth="1"/>
    <col min="4" max="4" width="17" style="3" customWidth="1"/>
    <col min="5" max="5" width="14.7109375" style="3" customWidth="1"/>
    <col min="6" max="6" width="15" style="3" customWidth="1"/>
    <col min="7" max="7" width="16.85546875" style="3" customWidth="1"/>
    <col min="8" max="8" width="14.140625" style="3" customWidth="1"/>
    <col min="9" max="9" width="20.7109375" style="3" customWidth="1"/>
    <col min="10" max="10" width="11.42578125" style="3" customWidth="1"/>
    <col min="11" max="11" width="15.85546875" style="3" customWidth="1"/>
    <col min="12" max="12" width="16" style="3" customWidth="1"/>
    <col min="13" max="13" width="18.42578125" style="3" customWidth="1"/>
    <col min="14" max="14" width="16.42578125" style="3" bestFit="1" customWidth="1"/>
    <col min="15" max="16384" width="10.140625" style="3"/>
  </cols>
  <sheetData>
    <row r="1" spans="1:12" s="7" customFormat="1" ht="19.5">
      <c r="A1" s="156" t="s">
        <v>1</v>
      </c>
      <c r="C1" s="4"/>
      <c r="D1" s="4"/>
      <c r="E1" s="4"/>
      <c r="F1" s="4"/>
      <c r="G1" s="4"/>
      <c r="H1" s="4"/>
    </row>
    <row r="2" spans="1:12" s="8" customFormat="1">
      <c r="A2" s="44"/>
      <c r="B2" s="1"/>
      <c r="C2" s="45"/>
      <c r="D2" s="45"/>
      <c r="E2" s="226"/>
      <c r="F2" s="45"/>
      <c r="G2" s="45"/>
      <c r="H2" s="45"/>
    </row>
    <row r="3" spans="1:12" s="8" customFormat="1">
      <c r="A3" s="44"/>
      <c r="D3" s="45"/>
      <c r="E3" s="45"/>
      <c r="F3" s="45"/>
      <c r="G3" s="45"/>
      <c r="H3" s="45"/>
    </row>
    <row r="4" spans="1:12" s="2" customFormat="1" ht="18" customHeight="1">
      <c r="A4" s="219" t="s">
        <v>456</v>
      </c>
      <c r="B4" s="220"/>
      <c r="C4" s="317" t="s">
        <v>233</v>
      </c>
      <c r="D4" s="318"/>
      <c r="E4" s="237" t="s">
        <v>455</v>
      </c>
      <c r="F4" s="1"/>
      <c r="G4" s="1"/>
      <c r="H4" s="1"/>
    </row>
    <row r="5" spans="1:12" s="9" customFormat="1" ht="18.75">
      <c r="A5" s="46"/>
      <c r="B5" s="72"/>
      <c r="C5" s="72"/>
      <c r="D5" s="72"/>
      <c r="E5" s="226"/>
      <c r="F5" s="72"/>
      <c r="G5" s="72"/>
      <c r="H5" s="72"/>
    </row>
    <row r="6" spans="1:12" s="9" customFormat="1" ht="19.5" thickBot="1">
      <c r="A6" s="324" t="s">
        <v>441</v>
      </c>
      <c r="B6" s="324"/>
      <c r="C6" s="324"/>
      <c r="D6" s="324"/>
      <c r="E6" s="324"/>
      <c r="F6" s="324"/>
      <c r="G6" s="324"/>
      <c r="H6" s="120"/>
      <c r="I6" s="120"/>
      <c r="J6" s="120"/>
    </row>
    <row r="7" spans="1:12" s="9" customFormat="1" ht="18.75" outlineLevel="1">
      <c r="A7" s="137"/>
      <c r="B7" s="31"/>
      <c r="C7" s="31"/>
      <c r="D7" s="31"/>
      <c r="E7" s="31"/>
      <c r="F7" s="30"/>
      <c r="G7" s="30"/>
      <c r="H7" s="30"/>
      <c r="I7" s="30"/>
      <c r="J7" s="30"/>
    </row>
    <row r="8" spans="1:12" s="9" customFormat="1" ht="18.75" outlineLevel="1">
      <c r="A8" s="137">
        <v>1</v>
      </c>
      <c r="B8" s="32" t="s">
        <v>361</v>
      </c>
      <c r="C8" s="33"/>
      <c r="D8" s="33"/>
      <c r="E8" s="33"/>
      <c r="F8" s="29"/>
      <c r="G8" s="151"/>
      <c r="H8" s="30"/>
      <c r="I8" s="30"/>
      <c r="J8" s="30"/>
    </row>
    <row r="9" spans="1:12" s="9" customFormat="1" ht="21.75" customHeight="1" outlineLevel="1">
      <c r="A9" s="137"/>
      <c r="B9" s="23"/>
      <c r="C9" s="24" t="s">
        <v>24</v>
      </c>
      <c r="D9" s="24" t="s">
        <v>23</v>
      </c>
      <c r="E9" s="24" t="s">
        <v>22</v>
      </c>
      <c r="F9" s="24" t="s">
        <v>21</v>
      </c>
      <c r="G9" s="30"/>
      <c r="H9" s="206"/>
      <c r="I9" s="151"/>
      <c r="J9" s="151"/>
      <c r="K9" s="2"/>
      <c r="L9" s="2"/>
    </row>
    <row r="10" spans="1:12" ht="17.25" outlineLevel="1">
      <c r="A10" s="138"/>
      <c r="B10" s="22" t="s">
        <v>417</v>
      </c>
      <c r="C10" s="150">
        <f>VLOOKUP(C4,GHE,5,FALSE)</f>
        <v>5638.7822265625</v>
      </c>
      <c r="D10" s="150">
        <f>VLOOKUP(C4,GHE,6,FALSE)</f>
        <v>19529.7265625</v>
      </c>
      <c r="E10" s="150">
        <f>VLOOKUP(C4,GHE,7,FALSE)</f>
        <v>18512.029296875</v>
      </c>
      <c r="F10" s="150">
        <f>VLOOKUP(C4,GHE,8,FALSE)</f>
        <v>38041.7578125</v>
      </c>
      <c r="G10" s="152"/>
      <c r="H10" s="167"/>
      <c r="I10" s="153"/>
      <c r="J10" s="153"/>
      <c r="K10" s="8"/>
      <c r="L10" s="8"/>
    </row>
    <row r="11" spans="1:12" ht="17.25" outlineLevel="1">
      <c r="A11" s="138"/>
      <c r="B11" s="35" t="s">
        <v>454</v>
      </c>
      <c r="C11" s="35"/>
      <c r="D11" s="35"/>
      <c r="E11" s="35"/>
      <c r="F11" s="35"/>
      <c r="G11" s="152"/>
      <c r="H11" s="207"/>
      <c r="I11" s="154"/>
      <c r="J11" s="153"/>
      <c r="K11" s="8"/>
      <c r="L11" s="8"/>
    </row>
    <row r="12" spans="1:12" ht="17.25" outlineLevel="1">
      <c r="A12" s="138"/>
      <c r="B12" s="35"/>
      <c r="C12" s="35"/>
      <c r="D12" s="35"/>
      <c r="E12" s="35"/>
      <c r="F12" s="35"/>
      <c r="G12" s="152"/>
      <c r="H12" s="207"/>
      <c r="I12" s="154"/>
      <c r="J12" s="153"/>
      <c r="K12" s="8"/>
      <c r="L12" s="8"/>
    </row>
    <row r="13" spans="1:12" ht="18" customHeight="1" outlineLevel="1">
      <c r="A13" s="138">
        <v>2</v>
      </c>
      <c r="B13" s="36" t="s">
        <v>32</v>
      </c>
      <c r="C13" s="323"/>
      <c r="D13" s="323"/>
      <c r="E13" s="323"/>
      <c r="F13" s="323"/>
      <c r="G13" s="152"/>
      <c r="H13" s="207"/>
      <c r="I13" s="153"/>
      <c r="J13" s="153"/>
      <c r="K13" s="8"/>
      <c r="L13" s="8"/>
    </row>
    <row r="14" spans="1:12" ht="30" outlineLevel="1">
      <c r="A14" s="138"/>
      <c r="B14" s="23" t="s">
        <v>31</v>
      </c>
      <c r="C14" s="24" t="s">
        <v>8</v>
      </c>
      <c r="D14" s="24" t="s">
        <v>9</v>
      </c>
      <c r="E14" s="24" t="s">
        <v>10</v>
      </c>
      <c r="F14" s="24" t="s">
        <v>25</v>
      </c>
      <c r="G14" s="152"/>
      <c r="H14" s="207"/>
      <c r="I14" s="153"/>
      <c r="J14" s="153"/>
      <c r="K14" s="8"/>
      <c r="L14" s="8"/>
    </row>
    <row r="15" spans="1:12" ht="17.25" outlineLevel="1">
      <c r="A15" s="138"/>
      <c r="B15" s="21" t="s">
        <v>3</v>
      </c>
      <c r="C15" s="149">
        <f>VLOOKUP(C4,GHE,9,FALSE)</f>
        <v>5195.240234375</v>
      </c>
      <c r="D15" s="149">
        <f>VLOOKUP(C4,GHE,10,FALSE)</f>
        <v>2936.714599609375</v>
      </c>
      <c r="E15" s="149">
        <f>VLOOKUP(C4,GHE,11,FALSE)</f>
        <v>2618.60986328125</v>
      </c>
      <c r="F15" s="149">
        <f>VLOOKUP(C4,GHE,12,FALSE)</f>
        <v>5555.32421875</v>
      </c>
      <c r="G15" s="152"/>
      <c r="H15" s="207"/>
      <c r="I15" s="153"/>
      <c r="J15" s="153"/>
      <c r="K15" s="8"/>
      <c r="L15" s="8"/>
    </row>
    <row r="16" spans="1:12" ht="17.25" outlineLevel="1">
      <c r="A16" s="138"/>
      <c r="B16" s="21" t="s">
        <v>4</v>
      </c>
      <c r="C16" s="149">
        <f>VLOOKUP(C4,GHE,17,FALSE)</f>
        <v>9808.9951171875</v>
      </c>
      <c r="D16" s="149">
        <f>VLOOKUP(C4,GHE,18,FALSE)</f>
        <v>7903.9091796875</v>
      </c>
      <c r="E16" s="149">
        <f>VLOOKUP(C4,GHE,19,FALSE)</f>
        <v>6755.30224609375</v>
      </c>
      <c r="F16" s="149">
        <f>VLOOKUP(C4,GHE,20,FALSE)</f>
        <v>14659.212890625</v>
      </c>
      <c r="G16" s="152"/>
      <c r="H16" s="207"/>
      <c r="I16" s="153"/>
      <c r="J16" s="153"/>
      <c r="K16" s="8"/>
      <c r="L16" s="8"/>
    </row>
    <row r="17" spans="1:14" ht="17.25" outlineLevel="1">
      <c r="A17" s="138"/>
      <c r="B17" s="21" t="s">
        <v>5</v>
      </c>
      <c r="C17" s="149">
        <f>VLOOKUP(C4,GHE,27,FALSE)</f>
        <v>10.601181983947754</v>
      </c>
      <c r="D17" s="149">
        <f>VLOOKUP(C4,GHE,28,FALSE)</f>
        <v>9.3193445205688477</v>
      </c>
      <c r="E17" s="149">
        <f>VLOOKUP(C4,GHE,29,FALSE)</f>
        <v>7.561190128326416</v>
      </c>
      <c r="F17" s="149">
        <f>VLOOKUP(C4,GHE,30,FALSE)</f>
        <v>16.880531311035156</v>
      </c>
      <c r="G17" s="152"/>
      <c r="H17" s="207"/>
      <c r="I17" s="153"/>
      <c r="J17" s="153"/>
      <c r="K17" s="8"/>
      <c r="L17" s="8"/>
    </row>
    <row r="18" spans="1:14" ht="17.25" outlineLevel="1">
      <c r="A18" s="138"/>
      <c r="B18" s="21" t="s">
        <v>6</v>
      </c>
      <c r="C18" s="149">
        <f>VLOOKUP(C4,GHE,25,FALSE)</f>
        <v>373.40142822265625</v>
      </c>
      <c r="D18" s="240"/>
      <c r="E18" s="240"/>
      <c r="F18" s="240"/>
      <c r="G18" s="152"/>
      <c r="H18" s="207"/>
      <c r="I18" s="153"/>
      <c r="J18" s="153"/>
      <c r="K18" s="8"/>
      <c r="L18" s="8"/>
    </row>
    <row r="19" spans="1:14" ht="17.25" outlineLevel="1">
      <c r="A19" s="138"/>
      <c r="B19" s="37"/>
      <c r="C19" s="323"/>
      <c r="D19" s="323"/>
      <c r="E19" s="323"/>
      <c r="F19" s="323"/>
      <c r="G19" s="152"/>
      <c r="H19" s="207"/>
      <c r="I19" s="153"/>
      <c r="J19" s="153"/>
      <c r="K19" s="8"/>
      <c r="L19" s="8"/>
    </row>
    <row r="20" spans="1:14" ht="30" outlineLevel="1">
      <c r="A20" s="138"/>
      <c r="B20" s="25" t="s">
        <v>209</v>
      </c>
      <c r="C20" s="24" t="s">
        <v>19</v>
      </c>
      <c r="D20" s="24" t="s">
        <v>17</v>
      </c>
      <c r="E20" s="24" t="s">
        <v>18</v>
      </c>
      <c r="F20" s="24" t="s">
        <v>20</v>
      </c>
      <c r="G20" s="152"/>
      <c r="H20" s="207"/>
      <c r="I20" s="153"/>
      <c r="J20" s="153"/>
      <c r="K20" s="8"/>
      <c r="L20" s="8"/>
    </row>
    <row r="21" spans="1:14" ht="17.25" outlineLevel="1">
      <c r="A21" s="138"/>
      <c r="B21" s="21" t="s">
        <v>3</v>
      </c>
      <c r="C21" s="149">
        <f>VLOOKUP(C4,GHE,13,FALSE)</f>
        <v>485262.71875</v>
      </c>
      <c r="D21" s="149">
        <f>VLOOKUP(C4,GHE,14,FALSE)</f>
        <v>299599.46875</v>
      </c>
      <c r="E21" s="149">
        <f>VLOOKUP(C4,GHE,15,FALSE)</f>
        <v>267304.28125</v>
      </c>
      <c r="F21" s="149">
        <f>VLOOKUP(C4,GHE,16,FALSE)</f>
        <v>566903.75</v>
      </c>
      <c r="G21" s="152"/>
      <c r="H21" s="207"/>
      <c r="I21" s="153"/>
      <c r="J21" s="153"/>
      <c r="K21" s="8"/>
      <c r="L21" s="8"/>
    </row>
    <row r="22" spans="1:14" ht="17.25" outlineLevel="1">
      <c r="A22" s="138"/>
      <c r="B22" s="21" t="s">
        <v>4</v>
      </c>
      <c r="C22" s="149">
        <f>VLOOKUP(C4,GHE,21,FALSE)</f>
        <v>880216.1875</v>
      </c>
      <c r="D22" s="149">
        <f>VLOOKUP(C4,GHE,22,FALSE)</f>
        <v>586069.3125</v>
      </c>
      <c r="E22" s="149">
        <f>VLOOKUP(C4,GHE,23,FALSE)</f>
        <v>493893.96875</v>
      </c>
      <c r="F22" s="149">
        <f>VLOOKUP(C4,GHE,24,FALSE)</f>
        <v>1079963.125</v>
      </c>
      <c r="G22" s="152"/>
      <c r="H22" s="207"/>
      <c r="I22" s="153"/>
      <c r="J22" s="153"/>
      <c r="K22" s="8"/>
      <c r="L22" s="8"/>
    </row>
    <row r="23" spans="1:14" ht="17.25" outlineLevel="1">
      <c r="A23" s="138"/>
      <c r="B23" s="21" t="s">
        <v>5</v>
      </c>
      <c r="C23" s="149">
        <f>VLOOKUP(C4,GHE,31,FALSE)</f>
        <v>3049.6533203125</v>
      </c>
      <c r="D23" s="149">
        <f>VLOOKUP(C4,GHE,32,FALSE)</f>
        <v>7926.26123046875</v>
      </c>
      <c r="E23" s="149">
        <f>VLOOKUP(C4,GHE,33,FALSE)</f>
        <v>8261.47265625</v>
      </c>
      <c r="F23" s="149">
        <f>VLOOKUP(C4,GHE,34,FALSE)</f>
        <v>16187.7353515625</v>
      </c>
      <c r="G23" s="152"/>
      <c r="H23" s="207"/>
      <c r="I23" s="153"/>
      <c r="J23" s="153"/>
      <c r="K23" s="8"/>
      <c r="L23" s="8"/>
    </row>
    <row r="24" spans="1:14" ht="17.25" outlineLevel="1">
      <c r="A24" s="138"/>
      <c r="B24" s="21" t="s">
        <v>6</v>
      </c>
      <c r="C24" s="149">
        <f>VLOOKUP(C4,GHE,26,FALSE)</f>
        <v>42784.40234375</v>
      </c>
      <c r="D24" s="241"/>
      <c r="E24" s="241"/>
      <c r="F24" s="241"/>
      <c r="G24" s="152"/>
      <c r="H24" s="205"/>
      <c r="I24" s="153"/>
      <c r="J24" s="153"/>
      <c r="N24" s="12"/>
    </row>
    <row r="25" spans="1:14" ht="17.25" outlineLevel="1">
      <c r="A25" s="138"/>
      <c r="B25" s="35" t="s">
        <v>458</v>
      </c>
      <c r="C25" s="38"/>
      <c r="D25" s="35"/>
      <c r="E25" s="35"/>
      <c r="F25" s="35"/>
      <c r="G25" s="155"/>
      <c r="H25" s="155"/>
      <c r="I25" s="155"/>
      <c r="J25" s="155"/>
      <c r="N25" s="12"/>
    </row>
    <row r="26" spans="1:14" ht="17.25" outlineLevel="1">
      <c r="A26" s="138"/>
      <c r="B26" s="35"/>
      <c r="C26" s="38"/>
      <c r="D26" s="35"/>
      <c r="E26" s="35"/>
      <c r="F26" s="35"/>
      <c r="G26" s="155"/>
      <c r="H26" s="155"/>
      <c r="I26" s="155"/>
      <c r="J26" s="155"/>
      <c r="N26" s="12"/>
    </row>
    <row r="27" spans="1:14" ht="17.25" outlineLevel="1">
      <c r="A27" s="138">
        <v>3</v>
      </c>
      <c r="B27" s="36" t="s">
        <v>47</v>
      </c>
      <c r="C27" s="38"/>
      <c r="D27" s="35"/>
      <c r="E27" s="35"/>
      <c r="F27" s="35"/>
      <c r="G27" s="35"/>
      <c r="H27" s="35"/>
      <c r="I27" s="35"/>
      <c r="J27" s="35"/>
      <c r="N27" s="12"/>
    </row>
    <row r="28" spans="1:14" ht="17.25" outlineLevel="1">
      <c r="A28" s="138"/>
      <c r="B28" s="31"/>
      <c r="C28" s="193" t="s">
        <v>35</v>
      </c>
      <c r="D28" s="167"/>
      <c r="E28" s="47"/>
      <c r="F28" s="47"/>
      <c r="G28" s="47"/>
      <c r="H28" s="47"/>
      <c r="I28" s="194"/>
      <c r="J28" s="143"/>
      <c r="K28" s="162"/>
      <c r="N28" s="12"/>
    </row>
    <row r="29" spans="1:14" ht="17.25" outlineLevel="1">
      <c r="A29" s="138"/>
      <c r="B29" s="197" t="s">
        <v>12</v>
      </c>
      <c r="C29" s="198"/>
      <c r="D29" s="167"/>
      <c r="E29" s="47"/>
      <c r="F29" s="47"/>
      <c r="G29" s="47"/>
      <c r="H29" s="47"/>
      <c r="I29" s="47"/>
      <c r="J29" s="143"/>
      <c r="N29" s="12"/>
    </row>
    <row r="30" spans="1:14" ht="17.25" outlineLevel="1">
      <c r="A30" s="138"/>
      <c r="B30" s="195" t="s">
        <v>420</v>
      </c>
      <c r="C30" s="196"/>
      <c r="D30" s="47"/>
      <c r="E30" s="47"/>
      <c r="F30" s="47"/>
      <c r="G30" s="47"/>
      <c r="H30" s="47"/>
      <c r="I30" s="47"/>
      <c r="J30" s="143"/>
      <c r="N30" s="12"/>
    </row>
    <row r="31" spans="1:14" outlineLevel="1">
      <c r="A31" s="34"/>
      <c r="B31" s="21" t="s">
        <v>33</v>
      </c>
      <c r="C31" s="243">
        <f>VLOOKUP(C4,Exposures,9,FALSE)/100</f>
        <v>0.67946601867675782</v>
      </c>
      <c r="D31" s="211"/>
      <c r="E31" s="47"/>
      <c r="F31" s="47"/>
      <c r="G31" s="47"/>
      <c r="H31" s="47"/>
      <c r="I31" s="47"/>
      <c r="J31" s="47"/>
      <c r="N31" s="12"/>
    </row>
    <row r="32" spans="1:14" outlineLevel="1">
      <c r="A32" s="34"/>
      <c r="B32" s="21" t="s">
        <v>34</v>
      </c>
      <c r="C32" s="243">
        <f>VLOOKUP(C4,Exposures,17,FALSE)/100</f>
        <v>0.26502668380737304</v>
      </c>
      <c r="D32" s="35"/>
      <c r="E32" s="47"/>
      <c r="F32" s="47"/>
      <c r="G32" s="47"/>
      <c r="H32" s="47"/>
      <c r="I32" s="47"/>
      <c r="J32" s="47"/>
      <c r="N32" s="12"/>
    </row>
    <row r="33" spans="1:14" outlineLevel="1">
      <c r="A33" s="34"/>
      <c r="B33" s="21" t="s">
        <v>369</v>
      </c>
      <c r="C33" s="243">
        <f>VLOOKUP(C4,Exposures,20,FALSE)/100</f>
        <v>9.4030799999999998E-2</v>
      </c>
      <c r="D33" s="213"/>
      <c r="E33" s="47"/>
      <c r="F33" s="167"/>
      <c r="G33" s="47"/>
      <c r="H33" s="47"/>
      <c r="I33" s="47"/>
      <c r="J33" s="47"/>
      <c r="N33" s="12"/>
    </row>
    <row r="34" spans="1:14" outlineLevel="1">
      <c r="A34" s="34"/>
      <c r="B34" s="166" t="s">
        <v>211</v>
      </c>
      <c r="C34" s="244">
        <f>1-C31</f>
        <v>0.32053398132324218</v>
      </c>
      <c r="D34" s="167"/>
      <c r="E34" s="47"/>
      <c r="F34" s="47"/>
      <c r="G34" s="47"/>
      <c r="H34" s="47"/>
      <c r="I34" s="47"/>
      <c r="J34" s="49"/>
      <c r="N34" s="12"/>
    </row>
    <row r="35" spans="1:14" outlineLevel="1">
      <c r="A35" s="34"/>
      <c r="B35" s="166" t="s">
        <v>210</v>
      </c>
      <c r="C35" s="245">
        <f>C31-C32</f>
        <v>0.41443933486938478</v>
      </c>
      <c r="D35" s="35"/>
      <c r="E35" s="47"/>
      <c r="F35" s="47"/>
      <c r="G35" s="47"/>
      <c r="H35" s="47"/>
      <c r="I35" s="47"/>
      <c r="J35" s="49"/>
      <c r="N35" s="12"/>
    </row>
    <row r="36" spans="1:14" outlineLevel="1">
      <c r="A36" s="34"/>
      <c r="B36" s="166" t="s">
        <v>431</v>
      </c>
      <c r="C36" s="244">
        <f>C31-C33</f>
        <v>0.58543521867675785</v>
      </c>
      <c r="D36" s="212"/>
      <c r="E36" s="47"/>
      <c r="F36" s="47"/>
      <c r="G36" s="47"/>
      <c r="H36" s="47"/>
      <c r="I36" s="47"/>
      <c r="J36" s="49"/>
      <c r="L36" s="6"/>
      <c r="N36" s="12"/>
    </row>
    <row r="37" spans="1:14" outlineLevel="1">
      <c r="A37" s="34"/>
      <c r="B37" s="31"/>
      <c r="C37" s="246"/>
      <c r="D37" s="47"/>
      <c r="E37" s="47"/>
      <c r="F37" s="47"/>
      <c r="G37" s="47"/>
      <c r="H37" s="47"/>
      <c r="I37" s="47"/>
      <c r="J37" s="49"/>
      <c r="N37" s="12"/>
    </row>
    <row r="38" spans="1:14" outlineLevel="1">
      <c r="A38" s="34"/>
      <c r="B38" s="200" t="s">
        <v>421</v>
      </c>
      <c r="C38" s="247"/>
      <c r="D38" s="254"/>
      <c r="E38" s="208"/>
      <c r="F38" s="47"/>
      <c r="G38" s="47"/>
      <c r="H38" s="47"/>
      <c r="I38" s="47"/>
      <c r="J38" s="49"/>
      <c r="N38" s="12"/>
    </row>
    <row r="39" spans="1:14" outlineLevel="1">
      <c r="A39" s="34"/>
      <c r="B39" s="81" t="s">
        <v>437</v>
      </c>
      <c r="C39" s="245"/>
      <c r="D39" s="254"/>
      <c r="E39" s="208"/>
      <c r="F39" s="204"/>
      <c r="G39" s="47"/>
      <c r="H39" s="47"/>
      <c r="I39" s="47"/>
      <c r="J39" s="49"/>
      <c r="N39" s="12"/>
    </row>
    <row r="40" spans="1:14" outlineLevel="1">
      <c r="A40" s="34"/>
      <c r="B40" s="221" t="s">
        <v>436</v>
      </c>
      <c r="C40" s="245">
        <f>1-(C41+C42+C43)</f>
        <v>0.81928235799999993</v>
      </c>
      <c r="D40" s="254"/>
      <c r="E40" s="208"/>
      <c r="F40" s="204"/>
      <c r="G40" s="47"/>
      <c r="H40" s="47"/>
      <c r="I40" s="47"/>
      <c r="J40" s="49"/>
      <c r="N40" s="12"/>
    </row>
    <row r="41" spans="1:14" outlineLevel="1">
      <c r="A41" s="34"/>
      <c r="B41" s="222" t="s">
        <v>433</v>
      </c>
      <c r="C41" s="243">
        <f>VLOOKUP(C4,Exposures,23,FALSE)/100</f>
        <v>0.1457444</v>
      </c>
      <c r="D41" s="254"/>
      <c r="E41" s="208"/>
      <c r="F41" s="47"/>
      <c r="G41" s="47"/>
      <c r="H41" s="47"/>
      <c r="I41" s="47"/>
      <c r="J41" s="47"/>
      <c r="N41" s="12"/>
    </row>
    <row r="42" spans="1:14" outlineLevel="1">
      <c r="A42" s="34"/>
      <c r="B42" s="223" t="s">
        <v>434</v>
      </c>
      <c r="C42" s="243">
        <f>VLOOKUP(C4,Exposures,24,FALSE)/100</f>
        <v>3.3732959999999999E-2</v>
      </c>
      <c r="D42" s="254"/>
      <c r="E42" s="208"/>
      <c r="F42" s="47"/>
      <c r="G42" s="47"/>
      <c r="H42" s="47"/>
      <c r="I42" s="47"/>
      <c r="J42" s="49"/>
      <c r="N42" s="12"/>
    </row>
    <row r="43" spans="1:14" outlineLevel="1">
      <c r="A43" s="34"/>
      <c r="B43" s="223" t="s">
        <v>435</v>
      </c>
      <c r="C43" s="243">
        <f>VLOOKUP(C4,Exposures,25,FALSE)/100</f>
        <v>1.2402820000000001E-3</v>
      </c>
      <c r="D43" s="254"/>
      <c r="E43" s="209"/>
      <c r="F43" s="47"/>
      <c r="G43" s="47"/>
      <c r="H43" s="47"/>
      <c r="I43" s="47"/>
      <c r="J43" s="49"/>
      <c r="N43" s="12"/>
    </row>
    <row r="44" spans="1:14" outlineLevel="1">
      <c r="A44" s="34"/>
      <c r="B44" s="199"/>
      <c r="C44" s="248"/>
      <c r="D44" s="254"/>
      <c r="E44" s="208"/>
      <c r="F44" s="47"/>
      <c r="G44" s="47"/>
      <c r="H44" s="47"/>
      <c r="I44" s="47"/>
      <c r="J44" s="49"/>
      <c r="L44" s="45"/>
      <c r="N44" s="12"/>
    </row>
    <row r="45" spans="1:14" outlineLevel="1">
      <c r="A45" s="34"/>
      <c r="B45" s="78" t="s">
        <v>438</v>
      </c>
      <c r="C45" s="249"/>
      <c r="D45" s="254"/>
      <c r="E45" s="208"/>
      <c r="F45" s="47"/>
      <c r="G45" s="47"/>
      <c r="H45" s="47"/>
      <c r="I45" s="47"/>
      <c r="J45" s="49"/>
      <c r="N45" s="12"/>
    </row>
    <row r="46" spans="1:14" outlineLevel="1">
      <c r="A46" s="34"/>
      <c r="B46" s="221" t="s">
        <v>436</v>
      </c>
      <c r="C46" s="249">
        <f>1-(C47+C48+C49)</f>
        <v>0.86007576399999996</v>
      </c>
      <c r="D46" s="254"/>
      <c r="E46" s="208"/>
      <c r="F46" s="167"/>
      <c r="G46" s="47"/>
      <c r="H46" s="47"/>
      <c r="I46" s="47"/>
      <c r="J46" s="49"/>
      <c r="L46" s="45"/>
      <c r="N46" s="12"/>
    </row>
    <row r="47" spans="1:14" ht="17.25" customHeight="1" outlineLevel="1">
      <c r="A47" s="34"/>
      <c r="B47" s="222" t="s">
        <v>433</v>
      </c>
      <c r="C47" s="243">
        <f>VLOOKUP(C4,Exposures,26,FALSE)/100</f>
        <v>9.4455899999999995E-2</v>
      </c>
      <c r="D47" s="254"/>
      <c r="E47" s="208"/>
      <c r="F47" s="47"/>
      <c r="G47" s="47"/>
      <c r="H47" s="47"/>
      <c r="I47" s="47"/>
      <c r="J47" s="47"/>
      <c r="L47" s="45"/>
      <c r="N47" s="12"/>
    </row>
    <row r="48" spans="1:14" ht="16.5" customHeight="1" outlineLevel="1">
      <c r="A48" s="34"/>
      <c r="B48" s="223" t="s">
        <v>434</v>
      </c>
      <c r="C48" s="243">
        <f>VLOOKUP(C4,Exposures,27,FALSE)/100</f>
        <v>3.9543670000000003E-2</v>
      </c>
      <c r="D48" s="254"/>
      <c r="E48" s="208"/>
      <c r="F48" s="47"/>
      <c r="G48" s="47"/>
      <c r="H48" s="47"/>
      <c r="I48" s="47"/>
      <c r="J48" s="49"/>
      <c r="L48" s="45"/>
      <c r="N48" s="12"/>
    </row>
    <row r="49" spans="1:21" outlineLevel="1">
      <c r="A49" s="34"/>
      <c r="B49" s="223" t="s">
        <v>435</v>
      </c>
      <c r="C49" s="243">
        <f>VLOOKUP(C4,Exposures,28,FALSE)/100</f>
        <v>5.9246659999999994E-3</v>
      </c>
      <c r="D49" s="254"/>
      <c r="E49" s="209"/>
      <c r="F49" s="210"/>
      <c r="G49" s="47"/>
      <c r="H49" s="47"/>
      <c r="I49" s="47"/>
      <c r="J49" s="49"/>
      <c r="N49" s="12"/>
    </row>
    <row r="50" spans="1:21" outlineLevel="1">
      <c r="A50" s="34"/>
      <c r="B50" s="35"/>
      <c r="C50" s="250"/>
      <c r="D50" s="254"/>
      <c r="E50" s="208"/>
      <c r="F50" s="47"/>
      <c r="G50" s="47"/>
      <c r="H50" s="47"/>
      <c r="I50" s="47"/>
      <c r="J50" s="49"/>
      <c r="L50" s="126"/>
      <c r="N50" s="14"/>
    </row>
    <row r="51" spans="1:21" outlineLevel="1">
      <c r="A51" s="34"/>
      <c r="B51" s="40" t="s">
        <v>13</v>
      </c>
      <c r="C51" s="251"/>
      <c r="D51" s="254"/>
      <c r="E51" s="47"/>
      <c r="F51" s="47"/>
      <c r="G51" s="47"/>
      <c r="H51" s="47"/>
      <c r="I51" s="47"/>
      <c r="J51" s="49"/>
      <c r="L51" s="45"/>
      <c r="N51" s="15"/>
    </row>
    <row r="52" spans="1:21" outlineLevel="1">
      <c r="A52" s="34"/>
      <c r="B52" s="39" t="s">
        <v>36</v>
      </c>
      <c r="C52" s="252">
        <f>VLOOKUP(C4,Exposures,30,FALSE)/100</f>
        <v>0.4622180938720703</v>
      </c>
      <c r="D52" s="47"/>
      <c r="E52" s="47"/>
      <c r="F52" s="47"/>
      <c r="G52" s="47"/>
      <c r="H52" s="47"/>
      <c r="I52" s="47"/>
      <c r="J52" s="47"/>
      <c r="L52" s="128"/>
      <c r="N52" s="16"/>
    </row>
    <row r="53" spans="1:21" outlineLevel="1">
      <c r="A53" s="34"/>
      <c r="B53" s="27" t="s">
        <v>215</v>
      </c>
      <c r="C53" s="252">
        <f>VLOOKUP(C4,Exposures,34,FALSE)/100</f>
        <v>2.0852465629577637E-2</v>
      </c>
      <c r="D53" s="48"/>
      <c r="E53" s="47"/>
      <c r="F53" s="47"/>
      <c r="G53" s="47"/>
      <c r="H53" s="47"/>
      <c r="I53" s="47"/>
      <c r="J53" s="47"/>
      <c r="L53" s="128"/>
      <c r="N53" s="17"/>
    </row>
    <row r="54" spans="1:21" ht="15.75" customHeight="1" outlineLevel="1">
      <c r="A54" s="34"/>
      <c r="B54" s="166" t="s">
        <v>212</v>
      </c>
      <c r="C54" s="249">
        <f>1-C52</f>
        <v>0.53778190612792964</v>
      </c>
      <c r="D54" s="168"/>
      <c r="E54" s="47"/>
      <c r="F54" s="47"/>
      <c r="G54" s="47"/>
      <c r="H54" s="47"/>
      <c r="I54" s="47"/>
      <c r="J54" s="49"/>
      <c r="N54" s="17"/>
      <c r="O54" s="13"/>
      <c r="P54" s="13"/>
      <c r="Q54" s="13"/>
      <c r="R54" s="13"/>
      <c r="S54" s="13"/>
      <c r="T54" s="13"/>
      <c r="U54" s="13"/>
    </row>
    <row r="55" spans="1:21" ht="14.25" customHeight="1" outlineLevel="1">
      <c r="A55" s="34"/>
      <c r="B55" s="166" t="s">
        <v>213</v>
      </c>
      <c r="C55" s="249">
        <f>C52-C53</f>
        <v>0.44136562824249265</v>
      </c>
      <c r="D55" s="168"/>
      <c r="E55" s="47"/>
      <c r="F55" s="47"/>
      <c r="G55" s="47"/>
      <c r="H55" s="47"/>
      <c r="I55" s="47"/>
      <c r="J55" s="49"/>
      <c r="N55" s="17"/>
      <c r="O55" s="13"/>
      <c r="P55" s="13"/>
      <c r="Q55" s="13"/>
      <c r="R55" s="13"/>
      <c r="S55" s="13"/>
      <c r="T55" s="13"/>
      <c r="U55" s="13"/>
    </row>
    <row r="56" spans="1:21" ht="18.75" customHeight="1" outlineLevel="1">
      <c r="A56" s="34"/>
      <c r="B56" s="35"/>
      <c r="C56" s="250"/>
      <c r="D56" s="49"/>
      <c r="E56" s="47"/>
      <c r="F56" s="47"/>
      <c r="G56" s="47"/>
      <c r="H56" s="47"/>
      <c r="I56" s="47"/>
      <c r="J56" s="49"/>
      <c r="N56" s="17"/>
      <c r="O56" s="13"/>
      <c r="P56" s="13"/>
      <c r="Q56" s="13"/>
      <c r="R56" s="13"/>
      <c r="S56" s="13"/>
      <c r="T56" s="13"/>
      <c r="U56" s="13"/>
    </row>
    <row r="57" spans="1:21" outlineLevel="1">
      <c r="A57" s="34"/>
      <c r="B57" s="42" t="s">
        <v>14</v>
      </c>
      <c r="C57" s="253"/>
      <c r="D57" s="49"/>
      <c r="E57" s="47"/>
      <c r="F57" s="47"/>
      <c r="G57" s="47"/>
      <c r="H57" s="47"/>
      <c r="I57" s="47"/>
      <c r="J57" s="49"/>
      <c r="N57" s="17"/>
    </row>
    <row r="58" spans="1:21" outlineLevel="1">
      <c r="A58" s="34"/>
      <c r="B58" s="41" t="s">
        <v>37</v>
      </c>
      <c r="C58" s="252">
        <f>VLOOKUP(C4,Exposures,39,FALSE)/100</f>
        <v>0.51206779479980502</v>
      </c>
      <c r="D58" s="49"/>
      <c r="E58" s="47"/>
      <c r="F58" s="47"/>
      <c r="G58" s="118"/>
      <c r="H58" s="118"/>
      <c r="I58" s="47"/>
      <c r="J58" s="163"/>
      <c r="N58" s="17"/>
    </row>
    <row r="59" spans="1:21" ht="18" customHeight="1" outlineLevel="1">
      <c r="A59" s="34"/>
      <c r="B59" s="28" t="s">
        <v>38</v>
      </c>
      <c r="C59" s="252">
        <f>VLOOKUP(C4,Exposures,42,FALSE)/100</f>
        <v>0.19242334676113099</v>
      </c>
      <c r="D59" s="49"/>
      <c r="E59" s="47"/>
      <c r="F59" s="47"/>
      <c r="G59" s="47"/>
      <c r="H59" s="47"/>
      <c r="I59" s="47"/>
      <c r="J59" s="47"/>
      <c r="N59" s="17"/>
    </row>
    <row r="60" spans="1:21" outlineLevel="1">
      <c r="A60" s="34"/>
      <c r="B60" s="166" t="s">
        <v>214</v>
      </c>
      <c r="C60" s="249">
        <f>1-C59</f>
        <v>0.80757665323886907</v>
      </c>
      <c r="D60" s="167"/>
      <c r="E60" s="47"/>
      <c r="F60" s="47"/>
      <c r="G60" s="47"/>
      <c r="H60" s="47"/>
      <c r="I60" s="119"/>
      <c r="J60" s="164"/>
      <c r="K60" s="19"/>
      <c r="M60" s="19"/>
      <c r="N60" s="19"/>
      <c r="O60" s="13"/>
      <c r="P60" s="13"/>
      <c r="Q60" s="13"/>
      <c r="R60" s="13"/>
      <c r="S60" s="13"/>
      <c r="T60" s="13"/>
      <c r="U60" s="13"/>
    </row>
    <row r="61" spans="1:21" ht="15" outlineLevel="1">
      <c r="A61" s="235"/>
      <c r="B61" s="326" t="s">
        <v>461</v>
      </c>
      <c r="C61" s="326"/>
      <c r="D61" s="326"/>
      <c r="E61" s="326"/>
      <c r="F61" s="326"/>
      <c r="G61" s="326"/>
      <c r="H61" s="326"/>
      <c r="I61" s="326"/>
      <c r="J61" s="326"/>
      <c r="M61" s="236"/>
      <c r="N61" s="236"/>
      <c r="O61" s="13"/>
      <c r="P61" s="13"/>
      <c r="Q61" s="13"/>
      <c r="R61" s="13"/>
      <c r="S61" s="13"/>
      <c r="T61" s="13"/>
      <c r="U61" s="13"/>
    </row>
    <row r="62" spans="1:21" ht="19.5" customHeight="1" outlineLevel="1">
      <c r="A62" s="235"/>
      <c r="B62" s="326"/>
      <c r="C62" s="326"/>
      <c r="D62" s="326"/>
      <c r="E62" s="326"/>
      <c r="F62" s="326"/>
      <c r="G62" s="326"/>
      <c r="H62" s="326"/>
      <c r="I62" s="326"/>
      <c r="J62" s="35"/>
      <c r="M62" s="236"/>
      <c r="N62" s="236"/>
      <c r="O62" s="13"/>
      <c r="P62" s="13"/>
      <c r="Q62" s="13"/>
      <c r="R62" s="13"/>
      <c r="S62" s="13"/>
      <c r="T62" s="13"/>
      <c r="U62" s="13"/>
    </row>
    <row r="63" spans="1:21">
      <c r="B63" s="7"/>
      <c r="C63" s="13"/>
      <c r="I63" s="18"/>
      <c r="J63" s="19"/>
      <c r="K63" s="271"/>
      <c r="L63" s="272"/>
      <c r="M63" s="273"/>
      <c r="N63" s="19"/>
      <c r="O63" s="13"/>
      <c r="P63" s="13"/>
      <c r="Q63" s="13"/>
      <c r="R63" s="13"/>
      <c r="S63" s="13"/>
      <c r="T63" s="13"/>
      <c r="U63" s="13"/>
    </row>
    <row r="64" spans="1:21" ht="21" customHeight="1" thickBot="1">
      <c r="A64" s="325" t="s">
        <v>440</v>
      </c>
      <c r="B64" s="325"/>
      <c r="C64" s="325"/>
      <c r="D64" s="325"/>
      <c r="E64" s="325"/>
      <c r="F64" s="325"/>
      <c r="G64" s="325"/>
      <c r="H64" s="121"/>
      <c r="I64" s="122"/>
      <c r="J64" s="123"/>
      <c r="K64" s="274"/>
      <c r="L64" s="272"/>
      <c r="M64" s="273"/>
      <c r="N64" s="19"/>
      <c r="O64" s="13"/>
      <c r="P64" s="13"/>
      <c r="Q64" s="13"/>
      <c r="R64" s="13"/>
      <c r="S64" s="13"/>
      <c r="T64" s="13"/>
      <c r="U64" s="13"/>
    </row>
    <row r="65" spans="1:25" s="8" customFormat="1" outlineLevel="1">
      <c r="A65" s="64"/>
      <c r="B65" s="65"/>
      <c r="C65" s="65"/>
      <c r="D65" s="66"/>
      <c r="E65" s="67"/>
      <c r="F65" s="67"/>
      <c r="G65" s="68"/>
      <c r="H65" s="65"/>
      <c r="I65" s="110"/>
      <c r="J65" s="111"/>
      <c r="K65" s="274"/>
      <c r="L65" s="275"/>
      <c r="M65" s="275"/>
    </row>
    <row r="66" spans="1:25" s="8" customFormat="1" outlineLevel="1">
      <c r="A66" s="64"/>
      <c r="B66" s="188" t="s">
        <v>65</v>
      </c>
      <c r="C66" s="183" t="s">
        <v>43</v>
      </c>
      <c r="D66" s="68"/>
      <c r="E66" s="67"/>
      <c r="F66" s="67"/>
      <c r="G66" s="68"/>
      <c r="H66" s="65"/>
      <c r="I66" s="65"/>
      <c r="J66" s="65"/>
      <c r="K66" s="274"/>
      <c r="L66" s="275"/>
      <c r="M66" s="276"/>
      <c r="N66" s="51"/>
      <c r="O66" s="51"/>
      <c r="P66" s="51"/>
      <c r="Q66" s="51"/>
      <c r="R66" s="51"/>
      <c r="S66" s="51"/>
      <c r="T66" s="51"/>
      <c r="U66" s="51"/>
    </row>
    <row r="67" spans="1:25" s="8" customFormat="1" outlineLevel="1">
      <c r="A67" s="64"/>
      <c r="B67" s="77" t="s">
        <v>12</v>
      </c>
      <c r="C67" s="184"/>
      <c r="D67" s="68"/>
      <c r="E67" s="68"/>
      <c r="F67" s="67"/>
      <c r="G67" s="68"/>
      <c r="H67" s="65"/>
      <c r="I67" s="65"/>
      <c r="J67" s="112"/>
      <c r="K67" s="277"/>
      <c r="L67" s="275"/>
      <c r="M67" s="275"/>
    </row>
    <row r="68" spans="1:25" s="8" customFormat="1" outlineLevel="1">
      <c r="A68" s="64"/>
      <c r="B68" s="269" t="s">
        <v>29</v>
      </c>
      <c r="C68" s="270">
        <f>1/0.4774681</f>
        <v>2.0943807554892149</v>
      </c>
      <c r="D68" s="181"/>
      <c r="E68" s="67"/>
      <c r="F68" s="65"/>
      <c r="G68" s="68"/>
      <c r="H68" s="65"/>
      <c r="I68" s="65"/>
      <c r="J68" s="65"/>
      <c r="K68" s="278"/>
      <c r="L68" s="271"/>
      <c r="M68" s="275"/>
    </row>
    <row r="69" spans="1:25" s="8" customFormat="1" outlineLevel="1">
      <c r="A69" s="64"/>
      <c r="B69" s="269" t="s">
        <v>26</v>
      </c>
      <c r="C69" s="270">
        <f>1/0.4774681*0.4963956</f>
        <v>1.0396413917495222</v>
      </c>
      <c r="D69" s="181"/>
      <c r="E69" s="67"/>
      <c r="F69" s="67"/>
      <c r="G69" s="68"/>
      <c r="H69" s="65"/>
      <c r="I69" s="65"/>
      <c r="J69" s="65"/>
      <c r="K69" s="279"/>
      <c r="L69" s="271"/>
      <c r="M69" s="271"/>
      <c r="N69" s="45"/>
      <c r="O69" s="45"/>
    </row>
    <row r="70" spans="1:25" s="8" customFormat="1" ht="18" customHeight="1" outlineLevel="1">
      <c r="A70" s="64"/>
      <c r="B70" s="269" t="s">
        <v>27</v>
      </c>
      <c r="C70" s="270">
        <f>1/0.4774681*0.6562404</f>
        <v>1.3744172647345445</v>
      </c>
      <c r="D70" s="181"/>
      <c r="E70" s="65"/>
      <c r="F70" s="67"/>
      <c r="G70" s="68"/>
      <c r="H70" s="65"/>
      <c r="I70" s="110"/>
      <c r="J70" s="113"/>
      <c r="K70" s="280"/>
      <c r="L70" s="275"/>
      <c r="M70" s="275"/>
      <c r="O70" s="125"/>
      <c r="P70" s="53"/>
      <c r="Q70" s="53"/>
      <c r="R70" s="53"/>
      <c r="S70" s="53"/>
      <c r="T70" s="53"/>
      <c r="U70" s="53"/>
      <c r="V70" s="53"/>
      <c r="W70" s="53"/>
      <c r="X70" s="53"/>
      <c r="Y70" s="53"/>
    </row>
    <row r="71" spans="1:25" s="8" customFormat="1" ht="15" customHeight="1" outlineLevel="1">
      <c r="A71" s="64"/>
      <c r="B71" s="269" t="s">
        <v>28</v>
      </c>
      <c r="C71" s="270">
        <f>1/0.4774681*0.6330209</f>
        <v>1.3257867907824628</v>
      </c>
      <c r="D71" s="181"/>
      <c r="E71" s="67"/>
      <c r="F71" s="67"/>
      <c r="G71" s="68"/>
      <c r="H71" s="65"/>
      <c r="I71" s="65"/>
      <c r="J71" s="114"/>
      <c r="K71" s="281"/>
      <c r="L71" s="274"/>
      <c r="M71" s="279"/>
      <c r="N71" s="126"/>
      <c r="O71" s="126"/>
      <c r="P71" s="54"/>
      <c r="Q71" s="54"/>
      <c r="R71" s="54"/>
      <c r="S71" s="54"/>
      <c r="T71" s="54"/>
      <c r="U71" s="54"/>
      <c r="V71" s="54"/>
      <c r="W71" s="54"/>
      <c r="X71" s="54"/>
      <c r="Y71" s="54"/>
    </row>
    <row r="72" spans="1:25" s="8" customFormat="1" outlineLevel="1">
      <c r="A72" s="64"/>
      <c r="B72" s="182" t="s">
        <v>42</v>
      </c>
      <c r="C72" s="157">
        <f>1/0.5863258</f>
        <v>1.7055364099618335</v>
      </c>
      <c r="D72" s="181"/>
      <c r="E72" s="67"/>
      <c r="F72" s="65"/>
      <c r="G72" s="65"/>
      <c r="H72" s="65"/>
      <c r="I72" s="65"/>
      <c r="J72" s="115"/>
      <c r="K72" s="281"/>
      <c r="L72" s="274"/>
      <c r="M72" s="275"/>
      <c r="O72" s="128"/>
      <c r="P72" s="55"/>
      <c r="Q72" s="55"/>
      <c r="R72" s="56"/>
    </row>
    <row r="73" spans="1:25" s="8" customFormat="1" outlineLevel="1">
      <c r="A73" s="64"/>
      <c r="B73" s="182" t="s">
        <v>39</v>
      </c>
      <c r="C73" s="157">
        <f>1/0.5863258*0.6095686</f>
        <v>1.039641441669461</v>
      </c>
      <c r="D73" s="181"/>
      <c r="E73" s="67"/>
      <c r="F73" s="65"/>
      <c r="G73" s="65"/>
      <c r="H73" s="71"/>
      <c r="I73" s="65"/>
      <c r="J73" s="115"/>
      <c r="K73" s="282"/>
      <c r="L73" s="275"/>
      <c r="M73" s="280"/>
      <c r="N73" s="45"/>
      <c r="O73" s="126"/>
      <c r="Q73" s="54"/>
      <c r="R73" s="55"/>
      <c r="S73" s="54"/>
      <c r="T73" s="54"/>
      <c r="U73" s="54"/>
      <c r="W73" s="54"/>
      <c r="Y73" s="54"/>
    </row>
    <row r="74" spans="1:25" s="8" customFormat="1" outlineLevel="1">
      <c r="A74" s="64"/>
      <c r="B74" s="182" t="s">
        <v>40</v>
      </c>
      <c r="C74" s="157">
        <f>1/0.5863258*0.8058563</f>
        <v>1.3744172608471263</v>
      </c>
      <c r="D74" s="181"/>
      <c r="E74" s="67"/>
      <c r="F74" s="65"/>
      <c r="G74" s="65"/>
      <c r="H74" s="71"/>
      <c r="I74" s="65"/>
      <c r="J74" s="115"/>
      <c r="K74" s="283"/>
      <c r="L74" s="275"/>
      <c r="M74" s="284"/>
      <c r="N74" s="45"/>
      <c r="O74" s="128"/>
      <c r="P74" s="55"/>
      <c r="Q74" s="55"/>
      <c r="R74" s="55"/>
      <c r="S74" s="55"/>
      <c r="T74" s="55"/>
    </row>
    <row r="75" spans="1:25" s="8" customFormat="1" outlineLevel="1">
      <c r="A75" s="64"/>
      <c r="B75" s="182" t="s">
        <v>41</v>
      </c>
      <c r="C75" s="157">
        <f>1/0.5863258*0.777343</f>
        <v>1.3257867895289617</v>
      </c>
      <c r="D75" s="181"/>
      <c r="E75" s="67"/>
      <c r="F75" s="65"/>
      <c r="G75" s="65"/>
      <c r="H75" s="71"/>
      <c r="I75" s="65"/>
      <c r="J75" s="114"/>
      <c r="K75" s="274"/>
      <c r="L75" s="275"/>
      <c r="M75" s="280"/>
      <c r="N75" s="126"/>
      <c r="O75" s="126"/>
      <c r="P75" s="54"/>
      <c r="Q75" s="54"/>
      <c r="R75" s="54"/>
      <c r="S75" s="54"/>
      <c r="T75" s="54"/>
      <c r="U75" s="54"/>
      <c r="V75" s="54"/>
      <c r="W75" s="54"/>
      <c r="X75" s="54"/>
    </row>
    <row r="76" spans="1:25" s="8" customFormat="1" outlineLevel="1">
      <c r="A76" s="64"/>
      <c r="B76" s="65"/>
      <c r="C76" s="70"/>
      <c r="D76" s="68"/>
      <c r="E76" s="67"/>
      <c r="F76" s="67"/>
      <c r="G76" s="67"/>
      <c r="H76" s="71"/>
      <c r="I76" s="65"/>
      <c r="J76" s="116"/>
      <c r="K76" s="275"/>
      <c r="L76" s="275"/>
      <c r="M76" s="285"/>
      <c r="N76" s="57"/>
      <c r="O76" s="11"/>
      <c r="P76" s="11"/>
      <c r="Q76" s="11"/>
      <c r="R76" s="11"/>
      <c r="S76" s="11"/>
      <c r="T76" s="11"/>
    </row>
    <row r="77" spans="1:25" s="8" customFormat="1" ht="15.75" customHeight="1" outlineLevel="1">
      <c r="A77" s="69"/>
      <c r="B77" s="40" t="s">
        <v>0</v>
      </c>
      <c r="C77" s="186"/>
      <c r="D77" s="65"/>
      <c r="E77" s="71"/>
      <c r="F77" s="71"/>
      <c r="G77" s="71"/>
      <c r="H77" s="71"/>
      <c r="I77" s="65"/>
      <c r="J77" s="117"/>
      <c r="K77" s="286"/>
      <c r="L77" s="275"/>
      <c r="M77" s="285"/>
      <c r="N77" s="57"/>
      <c r="O77" s="11"/>
      <c r="P77" s="11"/>
      <c r="Q77" s="11"/>
      <c r="R77" s="11"/>
      <c r="S77" s="11"/>
      <c r="T77" s="11"/>
    </row>
    <row r="78" spans="1:25" s="8" customFormat="1" outlineLevel="1">
      <c r="A78" s="69"/>
      <c r="B78" s="39" t="s">
        <v>365</v>
      </c>
      <c r="C78" s="268">
        <f>1/0.5283272</f>
        <v>1.8927664523045566</v>
      </c>
      <c r="D78" s="65"/>
      <c r="E78" s="71"/>
      <c r="F78" s="71"/>
      <c r="G78" s="71"/>
      <c r="H78" s="71"/>
      <c r="I78" s="65"/>
      <c r="J78" s="117"/>
      <c r="K78" s="280"/>
      <c r="L78" s="275"/>
      <c r="M78" s="285"/>
      <c r="N78" s="57"/>
      <c r="O78" s="11"/>
      <c r="P78" s="11"/>
      <c r="Q78" s="11"/>
      <c r="R78" s="11"/>
      <c r="S78" s="11"/>
      <c r="T78" s="11"/>
    </row>
    <row r="79" spans="1:25" s="8" customFormat="1" outlineLevel="1">
      <c r="A79" s="69"/>
      <c r="B79" s="27" t="s">
        <v>444</v>
      </c>
      <c r="C79" s="268">
        <f>1/0.6649076</f>
        <v>1.5039683709435716</v>
      </c>
      <c r="D79" s="65"/>
      <c r="E79" s="71"/>
      <c r="F79" s="71"/>
      <c r="G79" s="71"/>
      <c r="H79" s="71"/>
      <c r="I79" s="65"/>
      <c r="J79" s="117"/>
      <c r="K79" s="281"/>
      <c r="L79" s="275"/>
      <c r="M79" s="285"/>
      <c r="N79" s="57"/>
      <c r="O79" s="11"/>
      <c r="P79" s="11"/>
      <c r="Q79" s="11"/>
      <c r="R79" s="11"/>
      <c r="S79" s="11"/>
      <c r="T79" s="11"/>
    </row>
    <row r="80" spans="1:25" s="8" customFormat="1" outlineLevel="1">
      <c r="A80" s="69"/>
      <c r="B80" s="65"/>
      <c r="C80" s="70"/>
      <c r="D80" s="65"/>
      <c r="E80" s="71"/>
      <c r="F80" s="71"/>
      <c r="G80" s="71"/>
      <c r="H80" s="71"/>
      <c r="I80" s="65"/>
      <c r="J80" s="117"/>
      <c r="K80" s="287"/>
      <c r="L80" s="275"/>
      <c r="M80" s="285"/>
      <c r="N80" s="57"/>
      <c r="O80" s="11"/>
      <c r="P80" s="11"/>
      <c r="Q80" s="11"/>
      <c r="R80" s="11"/>
      <c r="S80" s="11"/>
      <c r="T80" s="11"/>
    </row>
    <row r="81" spans="1:20" s="8" customFormat="1" ht="18" customHeight="1" outlineLevel="1">
      <c r="A81" s="69"/>
      <c r="B81" s="42" t="s">
        <v>30</v>
      </c>
      <c r="C81" s="185"/>
      <c r="D81" s="65"/>
      <c r="E81" s="71"/>
      <c r="F81" s="71"/>
      <c r="G81" s="71"/>
      <c r="H81" s="71"/>
      <c r="I81" s="65"/>
      <c r="J81" s="116"/>
      <c r="K81" s="275"/>
      <c r="L81" s="275"/>
      <c r="M81" s="288"/>
      <c r="N81" s="59"/>
      <c r="O81" s="11"/>
      <c r="P81" s="11"/>
      <c r="Q81" s="11"/>
      <c r="R81" s="11"/>
      <c r="S81" s="11"/>
      <c r="T81" s="11"/>
    </row>
    <row r="82" spans="1:20" s="8" customFormat="1" ht="18" customHeight="1" outlineLevel="1">
      <c r="A82" s="69"/>
      <c r="B82" s="39" t="s">
        <v>443</v>
      </c>
      <c r="C82" s="267">
        <f>1/0.698</f>
        <v>1.4326647564469914</v>
      </c>
      <c r="D82" s="65"/>
      <c r="E82" s="71"/>
      <c r="F82" s="71"/>
      <c r="G82" s="71"/>
      <c r="H82" s="65"/>
      <c r="I82" s="65"/>
      <c r="J82" s="117"/>
      <c r="K82" s="289"/>
      <c r="L82" s="275"/>
      <c r="M82" s="290"/>
      <c r="N82" s="57"/>
      <c r="O82" s="11"/>
      <c r="P82" s="11"/>
      <c r="Q82" s="11"/>
      <c r="R82" s="11"/>
      <c r="S82" s="11"/>
      <c r="T82" s="11"/>
    </row>
    <row r="83" spans="1:20" s="8" customFormat="1" outlineLevel="1">
      <c r="A83" s="69"/>
      <c r="B83" s="65"/>
      <c r="C83" s="65"/>
      <c r="D83" s="65"/>
      <c r="E83" s="71"/>
      <c r="F83" s="71"/>
      <c r="G83" s="71"/>
      <c r="H83" s="71"/>
      <c r="I83" s="65"/>
      <c r="J83" s="117"/>
      <c r="K83" s="291"/>
      <c r="L83" s="275"/>
      <c r="M83" s="291"/>
      <c r="N83" s="62"/>
      <c r="O83" s="11"/>
      <c r="P83" s="11"/>
      <c r="Q83" s="11"/>
      <c r="R83" s="11"/>
      <c r="S83" s="11"/>
      <c r="T83" s="11"/>
    </row>
    <row r="84" spans="1:20" s="8" customFormat="1" outlineLevel="1">
      <c r="A84" s="69"/>
      <c r="B84" s="187" t="s">
        <v>66</v>
      </c>
      <c r="C84" s="65"/>
      <c r="D84" s="65"/>
      <c r="E84" s="71"/>
      <c r="F84" s="71"/>
      <c r="G84" s="71"/>
      <c r="H84" s="71"/>
      <c r="I84" s="65"/>
      <c r="J84" s="117"/>
      <c r="K84" s="291"/>
      <c r="L84" s="275"/>
      <c r="M84" s="291"/>
      <c r="N84" s="60"/>
      <c r="O84" s="11"/>
      <c r="P84" s="11"/>
      <c r="Q84" s="11"/>
      <c r="R84" s="11"/>
      <c r="S84" s="11"/>
      <c r="T84" s="11"/>
    </row>
    <row r="85" spans="1:20" s="8" customFormat="1" outlineLevel="1">
      <c r="A85" s="69"/>
      <c r="B85" s="42" t="s">
        <v>30</v>
      </c>
      <c r="C85" s="185"/>
      <c r="D85" s="65"/>
      <c r="E85" s="71"/>
      <c r="F85" s="71"/>
      <c r="G85" s="71"/>
      <c r="H85" s="71"/>
      <c r="I85" s="65"/>
      <c r="J85" s="117"/>
      <c r="K85" s="291"/>
      <c r="L85" s="275"/>
      <c r="M85" s="291"/>
      <c r="N85" s="60"/>
      <c r="O85" s="11"/>
      <c r="P85" s="11"/>
      <c r="Q85" s="11"/>
      <c r="R85" s="11"/>
      <c r="S85" s="11"/>
      <c r="T85" s="11"/>
    </row>
    <row r="86" spans="1:20" s="8" customFormat="1" ht="18.75" customHeight="1" outlineLevel="1">
      <c r="A86" s="69"/>
      <c r="B86" s="39" t="s">
        <v>443</v>
      </c>
      <c r="C86" s="267">
        <f>1/0.826</f>
        <v>1.2106537530266344</v>
      </c>
      <c r="D86" s="293"/>
      <c r="E86" s="161"/>
      <c r="F86" s="71"/>
      <c r="G86" s="71"/>
      <c r="H86" s="71"/>
      <c r="I86" s="65"/>
      <c r="J86" s="117"/>
      <c r="K86" s="292"/>
      <c r="L86" s="275"/>
      <c r="M86" s="291"/>
      <c r="N86" s="60"/>
      <c r="O86" s="11"/>
      <c r="P86" s="11"/>
      <c r="Q86" s="11"/>
      <c r="R86" s="11"/>
      <c r="S86" s="11"/>
      <c r="T86" s="11"/>
    </row>
    <row r="87" spans="1:20" s="8" customFormat="1" outlineLevel="1">
      <c r="A87" s="69"/>
      <c r="B87" s="65"/>
      <c r="C87" s="65"/>
      <c r="D87" s="65"/>
      <c r="E87" s="71"/>
      <c r="F87" s="71"/>
      <c r="G87" s="71"/>
      <c r="H87" s="71"/>
      <c r="I87" s="65"/>
      <c r="J87" s="117"/>
      <c r="K87" s="61"/>
      <c r="M87" s="61"/>
      <c r="N87" s="61"/>
      <c r="O87" s="11"/>
      <c r="P87" s="11"/>
      <c r="Q87" s="11"/>
      <c r="R87" s="11"/>
      <c r="S87" s="11"/>
      <c r="T87" s="11"/>
    </row>
    <row r="88" spans="1:20" s="8" customFormat="1">
      <c r="A88" s="26"/>
      <c r="E88" s="51"/>
      <c r="F88" s="51"/>
      <c r="G88" s="51"/>
      <c r="H88" s="51"/>
      <c r="J88" s="57"/>
      <c r="M88" s="60"/>
      <c r="N88" s="60"/>
      <c r="O88" s="11"/>
      <c r="P88" s="11"/>
      <c r="Q88" s="11"/>
      <c r="R88" s="11"/>
      <c r="S88" s="11"/>
      <c r="T88" s="11"/>
    </row>
    <row r="89" spans="1:20" s="8" customFormat="1" ht="19.5" thickBot="1">
      <c r="A89" s="124" t="s">
        <v>442</v>
      </c>
      <c r="B89" s="106"/>
      <c r="C89" s="106"/>
      <c r="D89" s="106"/>
      <c r="E89" s="107"/>
      <c r="F89" s="107"/>
      <c r="G89" s="107"/>
      <c r="H89" s="107"/>
      <c r="I89" s="108"/>
      <c r="J89" s="109"/>
      <c r="M89" s="63"/>
      <c r="N89" s="63"/>
      <c r="O89" s="11"/>
      <c r="P89" s="11"/>
      <c r="Q89" s="11"/>
      <c r="R89" s="11"/>
      <c r="S89" s="11"/>
      <c r="T89" s="11"/>
    </row>
    <row r="90" spans="1:20" s="45" customFormat="1" outlineLevel="1">
      <c r="A90" s="88"/>
      <c r="B90" s="89"/>
      <c r="C90" s="89"/>
      <c r="D90" s="89"/>
      <c r="E90" s="90"/>
      <c r="F90" s="90"/>
      <c r="G90" s="90"/>
      <c r="H90" s="90"/>
      <c r="I90" s="89"/>
      <c r="J90" s="103"/>
      <c r="M90" s="73"/>
      <c r="N90" s="73"/>
      <c r="O90" s="74"/>
      <c r="P90" s="74"/>
      <c r="Q90" s="74"/>
      <c r="R90" s="74"/>
      <c r="S90" s="74"/>
      <c r="T90" s="74"/>
    </row>
    <row r="91" spans="1:20" s="6" customFormat="1" ht="17.25" outlineLevel="1">
      <c r="A91" s="139">
        <v>1</v>
      </c>
      <c r="B91" s="141" t="s">
        <v>48</v>
      </c>
      <c r="C91" s="91"/>
      <c r="D91" s="91"/>
      <c r="E91" s="91"/>
      <c r="F91" s="91"/>
      <c r="G91" s="91"/>
      <c r="H91" s="91"/>
      <c r="I91" s="91"/>
      <c r="J91" s="91"/>
      <c r="M91" s="75"/>
      <c r="N91" s="75"/>
    </row>
    <row r="92" spans="1:20" s="6" customFormat="1" ht="17.25" outlineLevel="1">
      <c r="A92" s="139"/>
      <c r="B92" s="91"/>
      <c r="C92" s="91"/>
      <c r="D92" s="91"/>
      <c r="E92" s="91"/>
      <c r="F92" s="91"/>
      <c r="G92" s="91"/>
      <c r="H92" s="91"/>
      <c r="I92" s="91"/>
      <c r="J92" s="91"/>
      <c r="M92" s="75"/>
      <c r="N92" s="76"/>
    </row>
    <row r="93" spans="1:20" s="6" customFormat="1" ht="17.25" outlineLevel="1">
      <c r="A93" s="139"/>
      <c r="B93" s="78" t="s">
        <v>7</v>
      </c>
      <c r="C93" s="79" t="s">
        <v>2</v>
      </c>
      <c r="D93" s="80"/>
      <c r="E93" s="136" t="s">
        <v>46</v>
      </c>
      <c r="F93" s="93"/>
      <c r="G93" s="93"/>
      <c r="H93" s="91"/>
      <c r="I93" s="91"/>
      <c r="J93" s="104"/>
    </row>
    <row r="94" spans="1:20" s="6" customFormat="1" ht="17.25" outlineLevel="1">
      <c r="A94" s="139"/>
      <c r="B94" s="81" t="s">
        <v>12</v>
      </c>
      <c r="C94" s="82" t="s">
        <v>3</v>
      </c>
      <c r="D94" s="80"/>
      <c r="E94" s="144">
        <f>((C40*(C68-1)+C41*(C69-1)+C42*(C70-1)+C43*(C71-1))*C34+(C46*(C72-1)+C47*(C73-1)+C48*(C74-1)+C49*(C75-1))*C36)/((C40*(C68-1)+C41*(C69-1)+C42*(C70-1)+C43*(C71-1))*C34+(C46*(C72-1)+C47*(C73-1)+C48*(C74-1)+C49*(C75-1))*C36+1)</f>
        <v>0.39783102867498299</v>
      </c>
      <c r="F94" s="165"/>
      <c r="G94" s="91"/>
      <c r="H94" s="91"/>
      <c r="I94" s="91"/>
      <c r="J94" s="105"/>
      <c r="N94" s="50"/>
    </row>
    <row r="95" spans="1:20" s="6" customFormat="1" ht="17.25" outlineLevel="1">
      <c r="A95" s="139"/>
      <c r="B95" s="81" t="s">
        <v>13</v>
      </c>
      <c r="C95" s="82" t="s">
        <v>3</v>
      </c>
      <c r="D95" s="80"/>
      <c r="E95" s="144">
        <f>(C54*(C78-1)+C55*(C79-1))/((C54*(C78-1)+C55*(C79-1))+1)</f>
        <v>0.41264503388674606</v>
      </c>
      <c r="F95" s="242"/>
      <c r="G95" s="91"/>
      <c r="H95" s="91"/>
      <c r="I95" s="91"/>
      <c r="J95" s="91"/>
    </row>
    <row r="96" spans="1:20" s="6" customFormat="1" ht="17.25" customHeight="1" outlineLevel="1">
      <c r="A96" s="139"/>
      <c r="B96" s="81" t="s">
        <v>14</v>
      </c>
      <c r="C96" s="82" t="s">
        <v>3</v>
      </c>
      <c r="D96" s="80"/>
      <c r="E96" s="144">
        <f>C60*(C82-1)/(C60*(C82-1)+1)</f>
        <v>0.2589353624048184</v>
      </c>
      <c r="F96" s="91"/>
      <c r="G96" s="91"/>
      <c r="H96" s="91"/>
      <c r="I96" s="91"/>
      <c r="J96" s="91"/>
    </row>
    <row r="97" spans="1:10" s="6" customFormat="1" ht="17.25" customHeight="1" outlineLevel="1">
      <c r="A97" s="139"/>
      <c r="B97" s="81" t="s">
        <v>15</v>
      </c>
      <c r="C97" s="82" t="s">
        <v>3</v>
      </c>
      <c r="D97" s="80"/>
      <c r="E97" s="144">
        <f>1-(1-E94)*(1-E95)*(1-E96)</f>
        <v>0.73789511913845596</v>
      </c>
      <c r="F97" s="91"/>
      <c r="G97" s="91"/>
      <c r="H97" s="91"/>
      <c r="I97" s="91"/>
      <c r="J97" s="91"/>
    </row>
    <row r="98" spans="1:10" s="6" customFormat="1" ht="17.25" outlineLevel="1">
      <c r="A98" s="139"/>
      <c r="B98" s="81" t="s">
        <v>14</v>
      </c>
      <c r="C98" s="83" t="s">
        <v>49</v>
      </c>
      <c r="D98" s="84"/>
      <c r="E98" s="144">
        <f>(C60*(C86-1))/(C60*(C86-1)+1)</f>
        <v>0.14538610617905981</v>
      </c>
      <c r="F98" s="165"/>
      <c r="G98" s="91"/>
      <c r="H98" s="91"/>
      <c r="I98" s="91"/>
      <c r="J98" s="91"/>
    </row>
    <row r="99" spans="1:10" s="6" customFormat="1" ht="17.25" outlineLevel="1">
      <c r="A99" s="139"/>
      <c r="B99" s="85" t="s">
        <v>15</v>
      </c>
      <c r="C99" s="82" t="s">
        <v>5</v>
      </c>
      <c r="D99" s="80"/>
      <c r="E99" s="144">
        <v>1</v>
      </c>
      <c r="F99" s="91" t="s">
        <v>67</v>
      </c>
      <c r="G99" s="91"/>
      <c r="H99" s="91"/>
      <c r="I99" s="91"/>
      <c r="J99" s="91"/>
    </row>
    <row r="100" spans="1:10" s="6" customFormat="1" ht="17.25" outlineLevel="1">
      <c r="A100" s="139"/>
      <c r="B100" s="85" t="s">
        <v>15</v>
      </c>
      <c r="C100" s="86" t="s">
        <v>16</v>
      </c>
      <c r="D100" s="87"/>
      <c r="E100" s="144">
        <f>E97*VLOOKUP(C4,PAF_Nutrition_from_diarrhoa,6,FALSE)</f>
        <v>0.14229486653935394</v>
      </c>
      <c r="F100" s="91" t="s">
        <v>459</v>
      </c>
      <c r="G100" s="91"/>
      <c r="H100" s="91"/>
      <c r="I100" s="91"/>
      <c r="J100" s="91"/>
    </row>
    <row r="101" spans="1:10" s="6" customFormat="1" ht="17.25" outlineLevel="1">
      <c r="A101" s="139"/>
      <c r="B101" s="91"/>
      <c r="C101" s="91"/>
      <c r="D101" s="91"/>
      <c r="E101" s="91"/>
      <c r="F101" s="91"/>
      <c r="G101" s="91"/>
      <c r="H101" s="91"/>
      <c r="I101" s="91"/>
      <c r="J101" s="91"/>
    </row>
    <row r="102" spans="1:10" s="6" customFormat="1" ht="17.25" outlineLevel="1">
      <c r="A102" s="139">
        <v>2</v>
      </c>
      <c r="B102" s="141" t="s">
        <v>44</v>
      </c>
      <c r="C102" s="91"/>
      <c r="D102" s="91"/>
      <c r="E102" s="91"/>
      <c r="F102" s="91"/>
      <c r="G102" s="91"/>
      <c r="H102" s="91"/>
      <c r="I102" s="91"/>
      <c r="J102" s="91"/>
    </row>
    <row r="103" spans="1:10" s="6" customFormat="1" ht="17.25" outlineLevel="1">
      <c r="A103" s="139"/>
      <c r="B103" s="91"/>
      <c r="C103" s="91"/>
      <c r="D103" s="91"/>
      <c r="E103" s="91"/>
      <c r="F103" s="91"/>
      <c r="G103" s="91"/>
      <c r="H103" s="91"/>
      <c r="I103" s="91"/>
      <c r="J103" s="91"/>
    </row>
    <row r="104" spans="1:10" ht="30" outlineLevel="1">
      <c r="A104" s="140"/>
      <c r="B104" s="78" t="s">
        <v>7</v>
      </c>
      <c r="C104" s="79" t="s">
        <v>2</v>
      </c>
      <c r="D104" s="80"/>
      <c r="E104" s="95" t="s">
        <v>8</v>
      </c>
      <c r="F104" s="95" t="s">
        <v>9</v>
      </c>
      <c r="G104" s="95" t="s">
        <v>10</v>
      </c>
      <c r="H104" s="95" t="s">
        <v>364</v>
      </c>
      <c r="I104" s="95" t="s">
        <v>11</v>
      </c>
      <c r="J104" s="94"/>
    </row>
    <row r="105" spans="1:10" ht="17.25" outlineLevel="1">
      <c r="A105" s="140"/>
      <c r="B105" s="81" t="s">
        <v>12</v>
      </c>
      <c r="C105" s="82" t="s">
        <v>3</v>
      </c>
      <c r="D105" s="80"/>
      <c r="E105" s="158">
        <f>C15*E94</f>
        <v>2066.8277666550662</v>
      </c>
      <c r="F105" s="158">
        <f>D15*E94</f>
        <v>1168.3161900874384</v>
      </c>
      <c r="G105" s="158">
        <f>E15*E94</f>
        <v>1041.7642556076362</v>
      </c>
      <c r="H105" s="158">
        <f>F15*E94</f>
        <v>2210.0803485683587</v>
      </c>
      <c r="I105" s="224">
        <f>H105/(F$10*1000)*100000</f>
        <v>5.8096167886389223</v>
      </c>
      <c r="J105" s="94"/>
    </row>
    <row r="106" spans="1:10" ht="17.25" outlineLevel="1">
      <c r="A106" s="140"/>
      <c r="B106" s="81" t="s">
        <v>13</v>
      </c>
      <c r="C106" s="82" t="s">
        <v>3</v>
      </c>
      <c r="D106" s="80"/>
      <c r="E106" s="158">
        <f>C15*E95</f>
        <v>2143.7900825634583</v>
      </c>
      <c r="F106" s="158">
        <f>D15*E95</f>
        <v>1211.8206954715124</v>
      </c>
      <c r="G106" s="158">
        <f>E15*E95</f>
        <v>1080.5563557698588</v>
      </c>
      <c r="H106" s="158">
        <f>F15*E95</f>
        <v>2292.376950497955</v>
      </c>
      <c r="I106" s="224">
        <f>H106/(F$10*1000)*100000</f>
        <v>6.0259490683806192</v>
      </c>
      <c r="J106" s="94"/>
    </row>
    <row r="107" spans="1:10" ht="17.25" outlineLevel="1">
      <c r="A107" s="140"/>
      <c r="B107" s="81" t="s">
        <v>14</v>
      </c>
      <c r="C107" s="82" t="s">
        <v>3</v>
      </c>
      <c r="D107" s="80"/>
      <c r="E107" s="158">
        <f>C15*E96</f>
        <v>1345.2314128679843</v>
      </c>
      <c r="F107" s="158">
        <f>D15*E96</f>
        <v>760.41925912937472</v>
      </c>
      <c r="G107" s="158">
        <f>E15*E96</f>
        <v>678.05069394556244</v>
      </c>
      <c r="H107" s="158">
        <f>F15*E96</f>
        <v>1438.469889858296</v>
      </c>
      <c r="I107" s="224">
        <f>H107/(F$10*1000)*100000</f>
        <v>3.7812918555136652</v>
      </c>
      <c r="J107" s="94"/>
    </row>
    <row r="108" spans="1:10" ht="17.25" outlineLevel="1">
      <c r="A108" s="140"/>
      <c r="B108" s="81" t="s">
        <v>15</v>
      </c>
      <c r="C108" s="82" t="s">
        <v>3</v>
      </c>
      <c r="D108" s="80"/>
      <c r="E108" s="158">
        <f>C15*E97</f>
        <v>3833.5424116970403</v>
      </c>
      <c r="F108" s="158">
        <f>D15*E97</f>
        <v>2166.9873693544027</v>
      </c>
      <c r="G108" s="158">
        <f>E15*E97</f>
        <v>1932.2594370430538</v>
      </c>
      <c r="H108" s="158">
        <f>F15*E97</f>
        <v>4099.2466262472808</v>
      </c>
      <c r="I108" s="224">
        <f>H108/(F$10*1000)*100000</f>
        <v>10.77564986994456</v>
      </c>
      <c r="J108" s="94"/>
    </row>
    <row r="109" spans="1:10" ht="17.25" outlineLevel="1">
      <c r="A109" s="140"/>
      <c r="B109" s="81" t="s">
        <v>14</v>
      </c>
      <c r="C109" s="83" t="s">
        <v>49</v>
      </c>
      <c r="D109" s="84"/>
      <c r="E109" s="158">
        <f>C16*E98</f>
        <v>1426.0916056173012</v>
      </c>
      <c r="F109" s="158">
        <f>D16*E98</f>
        <v>1149.1185792276924</v>
      </c>
      <c r="G109" s="158">
        <f>E16*E98</f>
        <v>982.12708962222712</v>
      </c>
      <c r="H109" s="158">
        <f>F16*E98</f>
        <v>2131.2458818178484</v>
      </c>
      <c r="I109" s="224">
        <f>H109/(F10*1000)*100000</f>
        <v>5.6023853900819223</v>
      </c>
      <c r="J109" s="94"/>
    </row>
    <row r="110" spans="1:10" ht="17.25" outlineLevel="1">
      <c r="A110" s="140"/>
      <c r="B110" s="85" t="s">
        <v>15</v>
      </c>
      <c r="C110" s="82" t="s">
        <v>5</v>
      </c>
      <c r="D110" s="80"/>
      <c r="E110" s="158">
        <f>C17*E99</f>
        <v>10.601181983947754</v>
      </c>
      <c r="F110" s="158">
        <f>D17*E99</f>
        <v>9.3193445205688477</v>
      </c>
      <c r="G110" s="158">
        <f>E17*E99</f>
        <v>7.561190128326416</v>
      </c>
      <c r="H110" s="158">
        <f>F17*E99</f>
        <v>16.880531311035156</v>
      </c>
      <c r="I110" s="224">
        <f>H110/(F10*1000)*100000</f>
        <v>4.4373689024139795E-2</v>
      </c>
      <c r="J110" s="94"/>
    </row>
    <row r="111" spans="1:10" ht="17.25" outlineLevel="1">
      <c r="A111" s="140"/>
      <c r="B111" s="85" t="s">
        <v>15</v>
      </c>
      <c r="C111" s="82" t="s">
        <v>16</v>
      </c>
      <c r="D111" s="80"/>
      <c r="E111" s="294">
        <f>C18*E100</f>
        <v>53.133106394547021</v>
      </c>
      <c r="F111" s="239"/>
      <c r="G111" s="239"/>
      <c r="H111" s="239"/>
      <c r="I111" s="224">
        <f>E111/(F10*1000)*100000</f>
        <v>0.13967048172807675</v>
      </c>
      <c r="J111" s="91"/>
    </row>
    <row r="112" spans="1:10" ht="17.25" outlineLevel="1">
      <c r="A112" s="140"/>
      <c r="B112" s="170" t="s">
        <v>15</v>
      </c>
      <c r="C112" s="319" t="s">
        <v>367</v>
      </c>
      <c r="D112" s="320"/>
      <c r="E112" s="171">
        <f>E108+E109+E110+E111</f>
        <v>5323.3683056928367</v>
      </c>
      <c r="F112" s="171">
        <f t="shared" ref="F112:H112" si="0">F108+F109+F110+F111</f>
        <v>3325.425293102664</v>
      </c>
      <c r="G112" s="171">
        <f t="shared" si="0"/>
        <v>2921.9477167936075</v>
      </c>
      <c r="H112" s="171">
        <f t="shared" si="0"/>
        <v>6247.3730393761643</v>
      </c>
      <c r="I112" s="225">
        <f>H112/(F10*1000)*100000</f>
        <v>16.422408949050624</v>
      </c>
      <c r="J112" s="94"/>
    </row>
    <row r="113" spans="1:12" ht="17.25" outlineLevel="1">
      <c r="A113" s="140"/>
      <c r="B113" s="91" t="s">
        <v>460</v>
      </c>
      <c r="C113" s="91"/>
      <c r="D113" s="91"/>
      <c r="E113" s="97"/>
      <c r="F113" s="97"/>
      <c r="G113" s="97"/>
      <c r="H113" s="98"/>
      <c r="I113" s="101"/>
      <c r="J113" s="94"/>
    </row>
    <row r="114" spans="1:12" ht="17.25" outlineLevel="1">
      <c r="A114" s="140"/>
      <c r="B114" s="100"/>
      <c r="C114" s="91"/>
      <c r="D114" s="91"/>
      <c r="E114" s="97"/>
      <c r="F114" s="97"/>
      <c r="G114" s="97"/>
      <c r="H114" s="98"/>
      <c r="I114" s="101"/>
      <c r="J114" s="94"/>
    </row>
    <row r="115" spans="1:12" ht="17.25" outlineLevel="1">
      <c r="A115" s="140">
        <v>3</v>
      </c>
      <c r="B115" s="142" t="s">
        <v>45</v>
      </c>
      <c r="C115" s="94"/>
      <c r="D115" s="94"/>
      <c r="E115" s="94"/>
      <c r="F115" s="94"/>
      <c r="G115" s="94"/>
      <c r="H115" s="94"/>
      <c r="I115" s="94"/>
      <c r="J115" s="97"/>
    </row>
    <row r="116" spans="1:12" ht="17.25" outlineLevel="1">
      <c r="A116" s="140"/>
      <c r="B116" s="102"/>
      <c r="C116" s="94"/>
      <c r="D116" s="94"/>
      <c r="E116" s="94"/>
      <c r="F116" s="94"/>
      <c r="G116" s="94"/>
      <c r="H116" s="94"/>
      <c r="I116" s="94"/>
      <c r="J116" s="97"/>
    </row>
    <row r="117" spans="1:12" ht="40.5" customHeight="1" outlineLevel="1">
      <c r="A117" s="140"/>
      <c r="B117" s="78" t="s">
        <v>7</v>
      </c>
      <c r="C117" s="79" t="s">
        <v>2</v>
      </c>
      <c r="D117" s="80"/>
      <c r="E117" s="95" t="s">
        <v>19</v>
      </c>
      <c r="F117" s="95" t="s">
        <v>17</v>
      </c>
      <c r="G117" s="95" t="s">
        <v>18</v>
      </c>
      <c r="H117" s="95" t="s">
        <v>366</v>
      </c>
      <c r="I117" s="94"/>
      <c r="J117" s="99"/>
    </row>
    <row r="118" spans="1:12" ht="17.25" outlineLevel="1">
      <c r="A118" s="140"/>
      <c r="B118" s="81" t="s">
        <v>12</v>
      </c>
      <c r="C118" s="82" t="s">
        <v>3</v>
      </c>
      <c r="D118" s="80"/>
      <c r="E118" s="180">
        <f>C21*E94</f>
        <v>193052.56657793146</v>
      </c>
      <c r="F118" s="180">
        <f>D21*E94</f>
        <v>119189.96484329092</v>
      </c>
      <c r="G118" s="180">
        <f>E21*E94</f>
        <v>106341.93717891446</v>
      </c>
      <c r="H118" s="180">
        <f>F21*E94</f>
        <v>225531.90202220538</v>
      </c>
      <c r="I118" s="99"/>
      <c r="J118" s="99"/>
      <c r="K118" s="10"/>
      <c r="L118" s="20"/>
    </row>
    <row r="119" spans="1:12" ht="17.25" outlineLevel="1">
      <c r="A119" s="140"/>
      <c r="B119" s="81" t="s">
        <v>13</v>
      </c>
      <c r="C119" s="82" t="s">
        <v>3</v>
      </c>
      <c r="D119" s="80"/>
      <c r="E119" s="180">
        <f>C21*E95</f>
        <v>200241.25102256826</v>
      </c>
      <c r="F119" s="180">
        <f>D21*E95</f>
        <v>123628.23293479487</v>
      </c>
      <c r="G119" s="180">
        <f>E21*E95</f>
        <v>110301.78419447855</v>
      </c>
      <c r="H119" s="180">
        <f>F21*E95</f>
        <v>233930.01712927342</v>
      </c>
      <c r="I119" s="94"/>
      <c r="J119" s="97"/>
      <c r="L119" s="20"/>
    </row>
    <row r="120" spans="1:12" ht="17.25" outlineLevel="1">
      <c r="A120" s="140"/>
      <c r="B120" s="81" t="s">
        <v>14</v>
      </c>
      <c r="C120" s="82" t="s">
        <v>3</v>
      </c>
      <c r="D120" s="80"/>
      <c r="E120" s="180">
        <f>C21*E96</f>
        <v>125651.67794107871</v>
      </c>
      <c r="F120" s="180">
        <f>D21*E96</f>
        <v>77576.897017072319</v>
      </c>
      <c r="G120" s="180">
        <f>E21*E96</f>
        <v>69214.530937828255</v>
      </c>
      <c r="H120" s="180">
        <f>F21*E96</f>
        <v>146791.42795490057</v>
      </c>
      <c r="I120" s="94"/>
      <c r="J120" s="97"/>
      <c r="L120" s="20"/>
    </row>
    <row r="121" spans="1:12" ht="17.25" outlineLevel="1">
      <c r="A121" s="140"/>
      <c r="B121" s="81" t="s">
        <v>15</v>
      </c>
      <c r="C121" s="82" t="s">
        <v>3</v>
      </c>
      <c r="D121" s="80"/>
      <c r="E121" s="180">
        <f>C21*E97</f>
        <v>358072.99166548229</v>
      </c>
      <c r="F121" s="180">
        <f>D21*E97</f>
        <v>221072.98568709937</v>
      </c>
      <c r="G121" s="180">
        <f>E21*E97</f>
        <v>197242.52445918808</v>
      </c>
      <c r="H121" s="180">
        <f>F21*E97</f>
        <v>418315.51014628744</v>
      </c>
      <c r="I121" s="94"/>
      <c r="J121" s="97"/>
      <c r="L121" s="20"/>
    </row>
    <row r="122" spans="1:12" outlineLevel="1">
      <c r="A122" s="92"/>
      <c r="B122" s="81" t="s">
        <v>14</v>
      </c>
      <c r="C122" s="83" t="s">
        <v>49</v>
      </c>
      <c r="D122" s="84"/>
      <c r="E122" s="180">
        <f>C22*E98</f>
        <v>127971.20409640222</v>
      </c>
      <c r="F122" s="180">
        <f>D22*E98</f>
        <v>85206.335295413592</v>
      </c>
      <c r="G122" s="180">
        <f>E22*E98</f>
        <v>71805.320981884754</v>
      </c>
      <c r="H122" s="180">
        <f>F22*E98</f>
        <v>157011.63356071923</v>
      </c>
      <c r="I122" s="94"/>
      <c r="J122" s="97"/>
      <c r="L122" s="20"/>
    </row>
    <row r="123" spans="1:12" outlineLevel="1">
      <c r="A123" s="92"/>
      <c r="B123" s="85" t="s">
        <v>15</v>
      </c>
      <c r="C123" s="82" t="s">
        <v>5</v>
      </c>
      <c r="D123" s="80"/>
      <c r="E123" s="180">
        <f>C23*E99</f>
        <v>3049.6533203125</v>
      </c>
      <c r="F123" s="180">
        <f>D23*E99</f>
        <v>7926.26123046875</v>
      </c>
      <c r="G123" s="180">
        <f>E23*E99</f>
        <v>8261.47265625</v>
      </c>
      <c r="H123" s="180">
        <f>F23*E99</f>
        <v>16187.7353515625</v>
      </c>
      <c r="I123" s="94"/>
      <c r="J123" s="97"/>
      <c r="L123" s="20"/>
    </row>
    <row r="124" spans="1:12" outlineLevel="1">
      <c r="A124" s="92"/>
      <c r="B124" s="85" t="s">
        <v>15</v>
      </c>
      <c r="C124" s="86" t="s">
        <v>16</v>
      </c>
      <c r="D124" s="87"/>
      <c r="E124" s="180">
        <f>C24*E100</f>
        <v>6088.0008214699283</v>
      </c>
      <c r="F124" s="238"/>
      <c r="G124" s="238"/>
      <c r="H124" s="238"/>
      <c r="I124" s="94"/>
      <c r="J124" s="97"/>
      <c r="L124" s="20"/>
    </row>
    <row r="125" spans="1:12" outlineLevel="1">
      <c r="A125" s="92"/>
      <c r="B125" s="172" t="s">
        <v>368</v>
      </c>
      <c r="C125" s="321" t="s">
        <v>367</v>
      </c>
      <c r="D125" s="322"/>
      <c r="E125" s="189">
        <f>E121+E122+E123+E124</f>
        <v>495181.84990366694</v>
      </c>
      <c r="F125" s="189">
        <f t="shared" ref="F125:H125" si="1">F121+F122+F123+F124</f>
        <v>314205.58221298171</v>
      </c>
      <c r="G125" s="189">
        <f t="shared" si="1"/>
        <v>277309.31809732283</v>
      </c>
      <c r="H125" s="189">
        <f t="shared" si="1"/>
        <v>591514.8790585692</v>
      </c>
      <c r="I125" s="94"/>
      <c r="J125" s="94"/>
    </row>
    <row r="126" spans="1:12">
      <c r="A126" s="92"/>
      <c r="B126" s="96"/>
      <c r="C126" s="94"/>
      <c r="D126" s="94"/>
      <c r="E126" s="94"/>
      <c r="F126" s="94"/>
      <c r="G126" s="94"/>
      <c r="H126" s="94"/>
      <c r="I126" s="94"/>
      <c r="J126" s="94"/>
    </row>
    <row r="128" spans="1:12">
      <c r="H128" s="5"/>
    </row>
  </sheetData>
  <mergeCells count="9">
    <mergeCell ref="C4:D4"/>
    <mergeCell ref="C112:D112"/>
    <mergeCell ref="C125:D125"/>
    <mergeCell ref="C13:F13"/>
    <mergeCell ref="C19:F19"/>
    <mergeCell ref="A6:G6"/>
    <mergeCell ref="A64:G64"/>
    <mergeCell ref="B61:J61"/>
    <mergeCell ref="B62:I62"/>
  </mergeCells>
  <pageMargins left="0.7" right="0.7" top="0.75" bottom="0.75" header="0.3" footer="0.3"/>
  <pageSetup paperSize="9" scale="38" orientation="portrait" r:id="rId1"/>
  <ignoredErrors>
    <ignoredError sqref="C54:C55 E94"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F3AC54F-3332-4AAF-91BE-1181A5795DA5}">
          <x14:formula1>
            <xm:f>'Population and GHE'!$A$2:$A$133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F000C-7ABA-459F-89CE-15201E8E80D7}">
  <sheetPr>
    <tabColor theme="5" tint="0.39997558519241921"/>
    <pageSetUpPr fitToPage="1"/>
  </sheetPr>
  <dimension ref="A1:Y128"/>
  <sheetViews>
    <sheetView zoomScale="80" zoomScaleNormal="80" workbookViewId="0">
      <selection activeCell="H6" sqref="H6"/>
    </sheetView>
  </sheetViews>
  <sheetFormatPr defaultColWidth="10.140625" defaultRowHeight="15.75" outlineLevelRow="1"/>
  <cols>
    <col min="1" max="1" width="3.42578125" style="26" customWidth="1"/>
    <col min="2" max="2" width="80.28515625" style="3" customWidth="1"/>
    <col min="3" max="3" width="15.7109375" style="3" customWidth="1"/>
    <col min="4" max="4" width="17" style="3" customWidth="1"/>
    <col min="5" max="5" width="14.7109375" style="3" customWidth="1"/>
    <col min="6" max="6" width="15" style="3" customWidth="1"/>
    <col min="7" max="7" width="16.85546875" style="3" customWidth="1"/>
    <col min="8" max="8" width="14.140625" style="3" customWidth="1"/>
    <col min="9" max="9" width="20.7109375" style="3" customWidth="1"/>
    <col min="10" max="10" width="11.42578125" style="3" customWidth="1"/>
    <col min="11" max="11" width="17.7109375" style="3" customWidth="1"/>
    <col min="12" max="12" width="16" style="3" customWidth="1"/>
    <col min="13" max="13" width="18.42578125" style="3" customWidth="1"/>
    <col min="14" max="14" width="16.42578125" style="3" bestFit="1" customWidth="1"/>
    <col min="15" max="16384" width="10.140625" style="3"/>
  </cols>
  <sheetData>
    <row r="1" spans="1:12" s="7" customFormat="1" ht="19.5">
      <c r="A1" s="156" t="s">
        <v>1</v>
      </c>
      <c r="C1" s="4"/>
      <c r="D1" s="4"/>
      <c r="E1" s="4"/>
      <c r="F1" s="4"/>
      <c r="G1" s="4"/>
      <c r="H1" s="4"/>
    </row>
    <row r="2" spans="1:12" s="8" customFormat="1">
      <c r="A2" s="44"/>
      <c r="B2" s="1"/>
      <c r="C2" s="45"/>
      <c r="D2" s="45"/>
      <c r="E2" s="226"/>
      <c r="F2" s="45"/>
      <c r="G2" s="45"/>
      <c r="H2" s="45"/>
    </row>
    <row r="3" spans="1:12" s="8" customFormat="1">
      <c r="A3" s="44"/>
      <c r="D3" s="45"/>
      <c r="E3" s="45"/>
      <c r="F3" s="45"/>
      <c r="G3" s="45"/>
      <c r="H3" s="45"/>
    </row>
    <row r="4" spans="1:12" s="2" customFormat="1" ht="18" customHeight="1">
      <c r="A4" s="219" t="s">
        <v>456</v>
      </c>
      <c r="B4" s="220"/>
      <c r="C4" s="317" t="s">
        <v>233</v>
      </c>
      <c r="D4" s="318"/>
      <c r="E4" s="237" t="s">
        <v>455</v>
      </c>
      <c r="F4" s="1"/>
      <c r="G4" s="1"/>
      <c r="H4" s="1"/>
    </row>
    <row r="5" spans="1:12" s="9" customFormat="1" ht="18.75">
      <c r="A5" s="46"/>
      <c r="B5" s="72"/>
      <c r="C5" s="72"/>
      <c r="D5" s="72"/>
      <c r="E5" s="226"/>
      <c r="F5" s="72"/>
      <c r="G5" s="72"/>
      <c r="H5" s="72"/>
    </row>
    <row r="6" spans="1:12" s="9" customFormat="1" ht="19.5" customHeight="1" thickBot="1">
      <c r="A6" s="324" t="s">
        <v>441</v>
      </c>
      <c r="B6" s="324"/>
      <c r="C6" s="324"/>
      <c r="D6" s="324"/>
      <c r="E6" s="324"/>
      <c r="F6" s="324"/>
      <c r="G6" s="324"/>
      <c r="H6" s="120"/>
      <c r="I6" s="120"/>
      <c r="J6" s="120"/>
    </row>
    <row r="7" spans="1:12" s="9" customFormat="1" ht="18.75" outlineLevel="1">
      <c r="A7" s="137"/>
      <c r="B7" s="31"/>
      <c r="C7" s="31"/>
      <c r="D7" s="31"/>
      <c r="E7" s="31"/>
      <c r="F7" s="30"/>
      <c r="G7" s="30"/>
      <c r="H7" s="30"/>
      <c r="I7" s="30"/>
      <c r="J7" s="30"/>
    </row>
    <row r="8" spans="1:12" s="9" customFormat="1" ht="18.75" outlineLevel="1">
      <c r="A8" s="137">
        <v>1</v>
      </c>
      <c r="B8" s="32" t="s">
        <v>361</v>
      </c>
      <c r="C8" s="33"/>
      <c r="D8" s="33"/>
      <c r="E8" s="33"/>
      <c r="F8" s="29"/>
      <c r="G8" s="151"/>
      <c r="H8" s="30"/>
      <c r="I8" s="30"/>
      <c r="J8" s="30"/>
    </row>
    <row r="9" spans="1:12" s="9" customFormat="1" ht="21.75" customHeight="1" outlineLevel="1">
      <c r="A9" s="137"/>
      <c r="B9" s="23"/>
      <c r="C9" s="24" t="s">
        <v>24</v>
      </c>
      <c r="D9" s="24" t="s">
        <v>23</v>
      </c>
      <c r="E9" s="24" t="s">
        <v>22</v>
      </c>
      <c r="F9" s="24" t="s">
        <v>21</v>
      </c>
      <c r="G9" s="30"/>
      <c r="H9" s="206"/>
      <c r="I9" s="151"/>
      <c r="J9" s="151"/>
      <c r="K9" s="2"/>
      <c r="L9" s="2"/>
    </row>
    <row r="10" spans="1:12" ht="17.25" outlineLevel="1">
      <c r="A10" s="138"/>
      <c r="B10" s="22" t="s">
        <v>417</v>
      </c>
      <c r="C10" s="150">
        <f>VLOOKUP(C4,GHE,5,FALSE)</f>
        <v>5638.7822265625</v>
      </c>
      <c r="D10" s="150">
        <f>VLOOKUP(C4,GHE,6,FALSE)</f>
        <v>19529.7265625</v>
      </c>
      <c r="E10" s="150">
        <f>VLOOKUP(C4,GHE,7,FALSE)</f>
        <v>18512.029296875</v>
      </c>
      <c r="F10" s="150">
        <f>VLOOKUP(C4,GHE,8,FALSE)</f>
        <v>38041.7578125</v>
      </c>
      <c r="G10" s="152"/>
      <c r="H10" s="167"/>
      <c r="I10" s="153"/>
      <c r="J10" s="153"/>
      <c r="K10" s="8"/>
      <c r="L10" s="8"/>
    </row>
    <row r="11" spans="1:12" ht="17.25" outlineLevel="1">
      <c r="A11" s="138"/>
      <c r="B11" s="35" t="s">
        <v>454</v>
      </c>
      <c r="C11" s="35"/>
      <c r="D11" s="35"/>
      <c r="E11" s="35"/>
      <c r="F11" s="35"/>
      <c r="G11" s="152"/>
      <c r="H11" s="207"/>
      <c r="I11" s="154"/>
      <c r="J11" s="153"/>
      <c r="K11" s="8"/>
      <c r="L11" s="8"/>
    </row>
    <row r="12" spans="1:12" ht="17.25" outlineLevel="1">
      <c r="A12" s="138"/>
      <c r="B12" s="35"/>
      <c r="C12" s="35"/>
      <c r="D12" s="35"/>
      <c r="E12" s="35"/>
      <c r="F12" s="35"/>
      <c r="G12" s="152"/>
      <c r="H12" s="207"/>
      <c r="I12" s="154"/>
      <c r="J12" s="153"/>
      <c r="K12" s="8"/>
      <c r="L12" s="8"/>
    </row>
    <row r="13" spans="1:12" ht="18" customHeight="1" outlineLevel="1">
      <c r="A13" s="138">
        <v>2</v>
      </c>
      <c r="B13" s="36" t="s">
        <v>32</v>
      </c>
      <c r="C13" s="323"/>
      <c r="D13" s="323"/>
      <c r="E13" s="323"/>
      <c r="F13" s="323"/>
      <c r="G13" s="152"/>
      <c r="H13" s="207"/>
      <c r="I13" s="153"/>
      <c r="J13" s="153"/>
      <c r="K13" s="8"/>
      <c r="L13" s="8"/>
    </row>
    <row r="14" spans="1:12" ht="30" outlineLevel="1">
      <c r="A14" s="138"/>
      <c r="B14" s="23" t="s">
        <v>31</v>
      </c>
      <c r="C14" s="24" t="s">
        <v>8</v>
      </c>
      <c r="D14" s="24" t="s">
        <v>9</v>
      </c>
      <c r="E14" s="24" t="s">
        <v>10</v>
      </c>
      <c r="F14" s="24" t="s">
        <v>25</v>
      </c>
      <c r="G14" s="152"/>
      <c r="H14" s="207"/>
      <c r="I14" s="153"/>
      <c r="J14" s="153"/>
      <c r="K14" s="8"/>
      <c r="L14" s="8"/>
    </row>
    <row r="15" spans="1:12" ht="17.25" outlineLevel="1">
      <c r="A15" s="138"/>
      <c r="B15" s="21" t="s">
        <v>3</v>
      </c>
      <c r="C15" s="149">
        <f>VLOOKUP(C4,GHE,9,FALSE)</f>
        <v>5195.240234375</v>
      </c>
      <c r="D15" s="149">
        <f>VLOOKUP(C4,GHE,10,FALSE)</f>
        <v>2936.714599609375</v>
      </c>
      <c r="E15" s="149">
        <f>VLOOKUP(C4,GHE,11,FALSE)</f>
        <v>2618.60986328125</v>
      </c>
      <c r="F15" s="149">
        <f>VLOOKUP(C4,GHE,12,FALSE)</f>
        <v>5555.32421875</v>
      </c>
      <c r="G15" s="152"/>
      <c r="H15" s="207"/>
      <c r="I15" s="153"/>
      <c r="J15" s="153"/>
      <c r="K15" s="8"/>
      <c r="L15" s="8"/>
    </row>
    <row r="16" spans="1:12" ht="17.25" outlineLevel="1">
      <c r="A16" s="138"/>
      <c r="B16" s="21" t="s">
        <v>4</v>
      </c>
      <c r="C16" s="149">
        <f>VLOOKUP(C4,GHE,17,FALSE)</f>
        <v>9808.9951171875</v>
      </c>
      <c r="D16" s="149">
        <f>VLOOKUP(C4,GHE,18,FALSE)</f>
        <v>7903.9091796875</v>
      </c>
      <c r="E16" s="149">
        <f>VLOOKUP(C4,GHE,19,FALSE)</f>
        <v>6755.30224609375</v>
      </c>
      <c r="F16" s="149">
        <f>VLOOKUP(C4,GHE,20,FALSE)</f>
        <v>14659.212890625</v>
      </c>
      <c r="G16" s="152"/>
      <c r="H16" s="207"/>
      <c r="I16" s="153"/>
      <c r="J16" s="153"/>
      <c r="K16" s="8"/>
      <c r="L16" s="8"/>
    </row>
    <row r="17" spans="1:14" ht="17.25" outlineLevel="1">
      <c r="A17" s="138"/>
      <c r="B17" s="21" t="s">
        <v>5</v>
      </c>
      <c r="C17" s="149">
        <f>VLOOKUP(C4,GHE,27,FALSE)</f>
        <v>10.601181983947754</v>
      </c>
      <c r="D17" s="149">
        <f>VLOOKUP(C4,GHE,28,FALSE)</f>
        <v>9.3193445205688477</v>
      </c>
      <c r="E17" s="149">
        <f>VLOOKUP(C4,GHE,29,FALSE)</f>
        <v>7.561190128326416</v>
      </c>
      <c r="F17" s="149">
        <f>VLOOKUP(C4,GHE,30,FALSE)</f>
        <v>16.880531311035156</v>
      </c>
      <c r="G17" s="152"/>
      <c r="H17" s="207"/>
      <c r="I17" s="153"/>
      <c r="J17" s="153"/>
      <c r="K17" s="8"/>
      <c r="L17" s="8"/>
    </row>
    <row r="18" spans="1:14" ht="17.25" outlineLevel="1">
      <c r="A18" s="138"/>
      <c r="B18" s="21" t="s">
        <v>6</v>
      </c>
      <c r="C18" s="149">
        <f>VLOOKUP(C4,GHE,25,FALSE)</f>
        <v>373.40142822265625</v>
      </c>
      <c r="D18" s="240"/>
      <c r="E18" s="240"/>
      <c r="F18" s="240"/>
      <c r="G18" s="152"/>
      <c r="H18" s="207"/>
      <c r="I18" s="153"/>
      <c r="J18" s="153"/>
      <c r="K18" s="8"/>
      <c r="L18" s="8"/>
    </row>
    <row r="19" spans="1:14" ht="17.25" outlineLevel="1">
      <c r="A19" s="138"/>
      <c r="B19" s="37"/>
      <c r="C19" s="323"/>
      <c r="D19" s="323"/>
      <c r="E19" s="323"/>
      <c r="F19" s="323"/>
      <c r="G19" s="152"/>
      <c r="H19" s="207"/>
      <c r="I19" s="153"/>
      <c r="J19" s="153"/>
      <c r="K19" s="8"/>
      <c r="L19" s="8"/>
    </row>
    <row r="20" spans="1:14" ht="30" outlineLevel="1">
      <c r="A20" s="138"/>
      <c r="B20" s="25" t="s">
        <v>209</v>
      </c>
      <c r="C20" s="24" t="s">
        <v>19</v>
      </c>
      <c r="D20" s="24" t="s">
        <v>17</v>
      </c>
      <c r="E20" s="24" t="s">
        <v>18</v>
      </c>
      <c r="F20" s="24" t="s">
        <v>20</v>
      </c>
      <c r="G20" s="152"/>
      <c r="H20" s="207"/>
      <c r="I20" s="153"/>
      <c r="J20" s="153"/>
      <c r="K20" s="8"/>
      <c r="L20" s="8"/>
    </row>
    <row r="21" spans="1:14" ht="17.25" outlineLevel="1">
      <c r="A21" s="138"/>
      <c r="B21" s="21" t="s">
        <v>3</v>
      </c>
      <c r="C21" s="149">
        <f>VLOOKUP(C4,GHE,13,FALSE)</f>
        <v>485262.71875</v>
      </c>
      <c r="D21" s="149">
        <f>VLOOKUP(C4,GHE,14,FALSE)</f>
        <v>299599.46875</v>
      </c>
      <c r="E21" s="149">
        <f>VLOOKUP(C4,GHE,15,FALSE)</f>
        <v>267304.28125</v>
      </c>
      <c r="F21" s="149">
        <f>VLOOKUP(C4,GHE,16,FALSE)</f>
        <v>566903.75</v>
      </c>
      <c r="G21" s="152"/>
      <c r="H21" s="207"/>
      <c r="I21" s="153"/>
      <c r="J21" s="153"/>
      <c r="K21" s="8"/>
      <c r="L21" s="8"/>
    </row>
    <row r="22" spans="1:14" ht="17.25" outlineLevel="1">
      <c r="A22" s="138"/>
      <c r="B22" s="21" t="s">
        <v>4</v>
      </c>
      <c r="C22" s="149">
        <f>VLOOKUP(C4,GHE,21,FALSE)</f>
        <v>880216.1875</v>
      </c>
      <c r="D22" s="149">
        <f>VLOOKUP(C4,GHE,22,FALSE)</f>
        <v>586069.3125</v>
      </c>
      <c r="E22" s="149">
        <f>VLOOKUP(C4,GHE,23,FALSE)</f>
        <v>493893.96875</v>
      </c>
      <c r="F22" s="149">
        <f>VLOOKUP(C4,GHE,24,FALSE)</f>
        <v>1079963.125</v>
      </c>
      <c r="G22" s="152"/>
      <c r="H22" s="207"/>
      <c r="I22" s="153"/>
      <c r="J22" s="153"/>
      <c r="K22" s="8"/>
      <c r="L22" s="8"/>
    </row>
    <row r="23" spans="1:14" ht="17.25" outlineLevel="1">
      <c r="A23" s="138"/>
      <c r="B23" s="21" t="s">
        <v>5</v>
      </c>
      <c r="C23" s="149">
        <f>VLOOKUP(C4,GHE,31,FALSE)</f>
        <v>3049.6533203125</v>
      </c>
      <c r="D23" s="149">
        <f>VLOOKUP(C4,GHE,32,FALSE)</f>
        <v>7926.26123046875</v>
      </c>
      <c r="E23" s="149">
        <f>VLOOKUP(C4,GHE,33,FALSE)</f>
        <v>8261.47265625</v>
      </c>
      <c r="F23" s="149">
        <f>VLOOKUP(C4,GHE,34,FALSE)</f>
        <v>16187.7353515625</v>
      </c>
      <c r="G23" s="152"/>
      <c r="H23" s="207"/>
      <c r="I23" s="153"/>
      <c r="J23" s="153"/>
      <c r="K23" s="8"/>
      <c r="L23" s="8"/>
    </row>
    <row r="24" spans="1:14" ht="17.25" outlineLevel="1">
      <c r="A24" s="138"/>
      <c r="B24" s="21" t="s">
        <v>6</v>
      </c>
      <c r="C24" s="149">
        <f>VLOOKUP(C4,GHE,26,FALSE)</f>
        <v>42784.40234375</v>
      </c>
      <c r="D24" s="241"/>
      <c r="E24" s="241"/>
      <c r="F24" s="241"/>
      <c r="G24" s="152"/>
      <c r="H24" s="205"/>
      <c r="I24" s="153"/>
      <c r="J24" s="153"/>
      <c r="N24" s="12"/>
    </row>
    <row r="25" spans="1:14" ht="17.25" outlineLevel="1">
      <c r="A25" s="138"/>
      <c r="B25" s="35" t="s">
        <v>458</v>
      </c>
      <c r="C25" s="38"/>
      <c r="D25" s="35"/>
      <c r="E25" s="35"/>
      <c r="F25" s="35"/>
      <c r="G25" s="155"/>
      <c r="H25" s="155"/>
      <c r="I25" s="155"/>
      <c r="J25" s="155"/>
      <c r="N25" s="12"/>
    </row>
    <row r="26" spans="1:14" ht="17.25" outlineLevel="1">
      <c r="A26" s="138"/>
      <c r="B26" s="35"/>
      <c r="C26" s="38"/>
      <c r="D26" s="35"/>
      <c r="E26" s="35"/>
      <c r="F26" s="35"/>
      <c r="G26" s="155"/>
      <c r="H26" s="155"/>
      <c r="I26" s="155"/>
      <c r="J26" s="155"/>
      <c r="N26" s="12"/>
    </row>
    <row r="27" spans="1:14" ht="17.25" outlineLevel="1">
      <c r="A27" s="138">
        <v>3</v>
      </c>
      <c r="B27" s="36" t="s">
        <v>47</v>
      </c>
      <c r="C27" s="38"/>
      <c r="D27" s="35"/>
      <c r="E27" s="35"/>
      <c r="F27" s="35"/>
      <c r="G27" s="35"/>
      <c r="H27" s="35"/>
      <c r="I27" s="35"/>
      <c r="J27" s="35"/>
      <c r="N27" s="12"/>
    </row>
    <row r="28" spans="1:14" ht="17.25" outlineLevel="1">
      <c r="A28" s="138"/>
      <c r="B28" s="31"/>
      <c r="C28" s="193" t="s">
        <v>35</v>
      </c>
      <c r="D28" s="167"/>
      <c r="E28" s="47"/>
      <c r="F28" s="47"/>
      <c r="G28" s="47"/>
      <c r="H28" s="47"/>
      <c r="I28" s="194"/>
      <c r="J28" s="143"/>
      <c r="K28" s="162"/>
      <c r="N28" s="12"/>
    </row>
    <row r="29" spans="1:14" ht="17.25" outlineLevel="1">
      <c r="A29" s="138"/>
      <c r="B29" s="197" t="s">
        <v>12</v>
      </c>
      <c r="C29" s="198"/>
      <c r="D29" s="167"/>
      <c r="E29" s="47"/>
      <c r="F29" s="47"/>
      <c r="G29" s="47"/>
      <c r="H29" s="47"/>
      <c r="I29" s="47"/>
      <c r="J29" s="143"/>
      <c r="N29" s="12"/>
    </row>
    <row r="30" spans="1:14" ht="17.25" outlineLevel="1">
      <c r="A30" s="138"/>
      <c r="B30" s="195" t="s">
        <v>420</v>
      </c>
      <c r="C30" s="196"/>
      <c r="D30" s="47"/>
      <c r="E30" s="47"/>
      <c r="F30" s="47"/>
      <c r="G30" s="47"/>
      <c r="H30" s="47"/>
      <c r="I30" s="47"/>
      <c r="J30" s="143"/>
      <c r="N30" s="12"/>
    </row>
    <row r="31" spans="1:14" outlineLevel="1">
      <c r="A31" s="34"/>
      <c r="B31" s="21" t="s">
        <v>33</v>
      </c>
      <c r="C31" s="243">
        <f>VLOOKUP(C4,Exposures,9,FALSE)/100</f>
        <v>0.67946601867675782</v>
      </c>
      <c r="D31" s="211"/>
      <c r="E31" s="47"/>
      <c r="F31" s="47"/>
      <c r="G31" s="47"/>
      <c r="H31" s="47"/>
      <c r="I31" s="47"/>
      <c r="J31" s="47"/>
      <c r="N31" s="12"/>
    </row>
    <row r="32" spans="1:14" outlineLevel="1">
      <c r="A32" s="34"/>
      <c r="B32" s="21" t="s">
        <v>34</v>
      </c>
      <c r="C32" s="243">
        <f>VLOOKUP(C4,Exposures,17,FALSE)/100</f>
        <v>0.26502668380737304</v>
      </c>
      <c r="D32" s="35"/>
      <c r="E32" s="47"/>
      <c r="F32" s="47"/>
      <c r="G32" s="47"/>
      <c r="H32" s="47"/>
      <c r="I32" s="47"/>
      <c r="J32" s="47"/>
      <c r="N32" s="12"/>
    </row>
    <row r="33" spans="1:14" outlineLevel="1">
      <c r="A33" s="34"/>
      <c r="B33" s="21" t="s">
        <v>369</v>
      </c>
      <c r="C33" s="243">
        <f>VLOOKUP(C4,Exposures,20,FALSE)/100</f>
        <v>9.4030799999999998E-2</v>
      </c>
      <c r="D33" s="213"/>
      <c r="E33" s="47"/>
      <c r="F33" s="167"/>
      <c r="G33" s="47"/>
      <c r="H33" s="47"/>
      <c r="I33" s="47"/>
      <c r="J33" s="47"/>
      <c r="N33" s="12"/>
    </row>
    <row r="34" spans="1:14" outlineLevel="1">
      <c r="A34" s="34"/>
      <c r="B34" s="166" t="s">
        <v>211</v>
      </c>
      <c r="C34" s="244">
        <f>1-C31</f>
        <v>0.32053398132324218</v>
      </c>
      <c r="D34" s="167"/>
      <c r="E34" s="47"/>
      <c r="F34" s="47"/>
      <c r="G34" s="47"/>
      <c r="H34" s="47"/>
      <c r="I34" s="47"/>
      <c r="J34" s="49"/>
      <c r="N34" s="12"/>
    </row>
    <row r="35" spans="1:14" outlineLevel="1">
      <c r="A35" s="34"/>
      <c r="B35" s="166" t="s">
        <v>210</v>
      </c>
      <c r="C35" s="245">
        <f>C31-C32</f>
        <v>0.41443933486938478</v>
      </c>
      <c r="D35" s="35"/>
      <c r="E35" s="47"/>
      <c r="F35" s="47"/>
      <c r="G35" s="47"/>
      <c r="H35" s="47"/>
      <c r="I35" s="47"/>
      <c r="J35" s="49"/>
      <c r="N35" s="12"/>
    </row>
    <row r="36" spans="1:14" outlineLevel="1">
      <c r="A36" s="34"/>
      <c r="B36" s="166" t="s">
        <v>431</v>
      </c>
      <c r="C36" s="244">
        <f>C31-C33</f>
        <v>0.58543521867675785</v>
      </c>
      <c r="D36" s="212"/>
      <c r="E36" s="47"/>
      <c r="F36" s="47"/>
      <c r="G36" s="47"/>
      <c r="H36" s="47"/>
      <c r="I36" s="47"/>
      <c r="J36" s="49"/>
      <c r="N36" s="12"/>
    </row>
    <row r="37" spans="1:14" outlineLevel="1">
      <c r="A37" s="34"/>
      <c r="B37" s="31"/>
      <c r="C37" s="246"/>
      <c r="D37" s="47"/>
      <c r="E37" s="47"/>
      <c r="F37" s="47"/>
      <c r="G37" s="47"/>
      <c r="H37" s="47"/>
      <c r="I37" s="47"/>
      <c r="J37" s="49"/>
      <c r="N37" s="12"/>
    </row>
    <row r="38" spans="1:14" outlineLevel="1">
      <c r="A38" s="34"/>
      <c r="B38" s="200" t="s">
        <v>421</v>
      </c>
      <c r="C38" s="247"/>
      <c r="D38" s="254"/>
      <c r="E38" s="208"/>
      <c r="F38" s="47"/>
      <c r="G38" s="47"/>
      <c r="H38" s="47"/>
      <c r="I38" s="47"/>
      <c r="J38" s="49"/>
      <c r="N38" s="12"/>
    </row>
    <row r="39" spans="1:14" outlineLevel="1">
      <c r="A39" s="34"/>
      <c r="B39" s="81" t="s">
        <v>437</v>
      </c>
      <c r="C39" s="245"/>
      <c r="D39" s="254"/>
      <c r="E39" s="208"/>
      <c r="F39" s="204"/>
      <c r="G39" s="47"/>
      <c r="H39" s="47"/>
      <c r="I39" s="47"/>
      <c r="J39" s="49"/>
      <c r="N39" s="12"/>
    </row>
    <row r="40" spans="1:14" outlineLevel="1">
      <c r="A40" s="34"/>
      <c r="B40" s="221" t="s">
        <v>436</v>
      </c>
      <c r="C40" s="245">
        <f>1-(C41+C42+C43)</f>
        <v>0.81928235799999993</v>
      </c>
      <c r="D40" s="254"/>
      <c r="E40" s="208"/>
      <c r="F40" s="204"/>
      <c r="G40" s="47"/>
      <c r="H40" s="47"/>
      <c r="I40" s="47"/>
      <c r="J40" s="49"/>
      <c r="N40" s="12"/>
    </row>
    <row r="41" spans="1:14" outlineLevel="1">
      <c r="A41" s="34"/>
      <c r="B41" s="222" t="s">
        <v>433</v>
      </c>
      <c r="C41" s="243">
        <f>VLOOKUP(C4,Exposures,23,FALSE)/100</f>
        <v>0.1457444</v>
      </c>
      <c r="D41" s="254"/>
      <c r="E41" s="208"/>
      <c r="F41" s="47"/>
      <c r="G41" s="47"/>
      <c r="H41" s="47"/>
      <c r="I41" s="47"/>
      <c r="J41" s="47"/>
      <c r="N41" s="12"/>
    </row>
    <row r="42" spans="1:14" outlineLevel="1">
      <c r="A42" s="34"/>
      <c r="B42" s="223" t="s">
        <v>434</v>
      </c>
      <c r="C42" s="243">
        <f>VLOOKUP(C4,Exposures,24,FALSE)/100</f>
        <v>3.3732959999999999E-2</v>
      </c>
      <c r="D42" s="254"/>
      <c r="E42" s="208"/>
      <c r="F42" s="47"/>
      <c r="G42" s="47"/>
      <c r="H42" s="47"/>
      <c r="I42" s="47"/>
      <c r="J42" s="49"/>
      <c r="N42" s="12"/>
    </row>
    <row r="43" spans="1:14" outlineLevel="1">
      <c r="A43" s="34"/>
      <c r="B43" s="223" t="s">
        <v>435</v>
      </c>
      <c r="C43" s="243">
        <f>VLOOKUP(C4,Exposures,25,FALSE)/100</f>
        <v>1.2402820000000001E-3</v>
      </c>
      <c r="D43" s="254"/>
      <c r="E43" s="209"/>
      <c r="F43" s="47"/>
      <c r="G43" s="47"/>
      <c r="H43" s="47"/>
      <c r="I43" s="47"/>
      <c r="J43" s="49"/>
      <c r="N43" s="12"/>
    </row>
    <row r="44" spans="1:14" outlineLevel="1">
      <c r="A44" s="34"/>
      <c r="B44" s="199"/>
      <c r="C44" s="248"/>
      <c r="D44" s="254"/>
      <c r="E44" s="208"/>
      <c r="F44" s="47"/>
      <c r="G44" s="47"/>
      <c r="H44" s="47"/>
      <c r="I44" s="47"/>
      <c r="J44" s="49"/>
      <c r="N44" s="12"/>
    </row>
    <row r="45" spans="1:14" outlineLevel="1">
      <c r="A45" s="34"/>
      <c r="B45" s="78" t="s">
        <v>438</v>
      </c>
      <c r="C45" s="249"/>
      <c r="D45" s="254"/>
      <c r="E45" s="208"/>
      <c r="F45" s="47"/>
      <c r="G45" s="47"/>
      <c r="H45" s="47"/>
      <c r="I45" s="47"/>
      <c r="J45" s="49"/>
      <c r="N45" s="12"/>
    </row>
    <row r="46" spans="1:14" outlineLevel="1">
      <c r="A46" s="34"/>
      <c r="B46" s="221" t="s">
        <v>436</v>
      </c>
      <c r="C46" s="249">
        <f>1-(C47+C48+C49)</f>
        <v>0.86007576399999996</v>
      </c>
      <c r="D46" s="254"/>
      <c r="E46" s="208"/>
      <c r="F46" s="167"/>
      <c r="G46" s="47"/>
      <c r="H46" s="47"/>
      <c r="I46" s="47"/>
      <c r="J46" s="49"/>
      <c r="N46" s="12"/>
    </row>
    <row r="47" spans="1:14" ht="17.25" customHeight="1" outlineLevel="1">
      <c r="A47" s="34"/>
      <c r="B47" s="222" t="s">
        <v>433</v>
      </c>
      <c r="C47" s="243">
        <f>VLOOKUP(C4,Exposures,26,FALSE)/100</f>
        <v>9.4455899999999995E-2</v>
      </c>
      <c r="D47" s="254"/>
      <c r="E47" s="208"/>
      <c r="F47" s="47"/>
      <c r="G47" s="47"/>
      <c r="H47" s="47"/>
      <c r="I47" s="47"/>
      <c r="J47" s="47"/>
      <c r="N47" s="12"/>
    </row>
    <row r="48" spans="1:14" ht="16.5" customHeight="1" outlineLevel="1">
      <c r="A48" s="34"/>
      <c r="B48" s="223" t="s">
        <v>434</v>
      </c>
      <c r="C48" s="243">
        <f>VLOOKUP(C4,Exposures,27,FALSE)/100</f>
        <v>3.9543670000000003E-2</v>
      </c>
      <c r="D48" s="254"/>
      <c r="E48" s="208"/>
      <c r="F48" s="47"/>
      <c r="G48" s="47"/>
      <c r="H48" s="47"/>
      <c r="I48" s="47"/>
      <c r="J48" s="49"/>
      <c r="N48" s="12"/>
    </row>
    <row r="49" spans="1:21" outlineLevel="1">
      <c r="A49" s="34"/>
      <c r="B49" s="223" t="s">
        <v>435</v>
      </c>
      <c r="C49" s="243">
        <f>VLOOKUP(C4,Exposures,28,FALSE)/100</f>
        <v>5.9246659999999994E-3</v>
      </c>
      <c r="D49" s="254"/>
      <c r="E49" s="209"/>
      <c r="F49" s="210"/>
      <c r="G49" s="47"/>
      <c r="H49" s="47"/>
      <c r="I49" s="47"/>
      <c r="J49" s="49"/>
      <c r="N49" s="12"/>
    </row>
    <row r="50" spans="1:21" outlineLevel="1">
      <c r="A50" s="34"/>
      <c r="B50" s="35"/>
      <c r="C50" s="250"/>
      <c r="D50" s="254"/>
      <c r="E50" s="208"/>
      <c r="F50" s="47"/>
      <c r="G50" s="47"/>
      <c r="H50" s="47"/>
      <c r="I50" s="47"/>
      <c r="J50" s="49"/>
      <c r="N50" s="14"/>
    </row>
    <row r="51" spans="1:21" outlineLevel="1">
      <c r="A51" s="34"/>
      <c r="B51" s="40" t="s">
        <v>13</v>
      </c>
      <c r="C51" s="251"/>
      <c r="D51" s="254"/>
      <c r="E51" s="47"/>
      <c r="F51" s="47"/>
      <c r="G51" s="47"/>
      <c r="H51" s="47"/>
      <c r="I51" s="47"/>
      <c r="J51" s="49"/>
      <c r="N51" s="15"/>
    </row>
    <row r="52" spans="1:21" outlineLevel="1">
      <c r="A52" s="34"/>
      <c r="B52" s="39" t="s">
        <v>36</v>
      </c>
      <c r="C52" s="252">
        <f>VLOOKUP(C4,Exposures,30,FALSE)/100</f>
        <v>0.4622180938720703</v>
      </c>
      <c r="D52" s="47"/>
      <c r="E52" s="47"/>
      <c r="F52" s="47"/>
      <c r="G52" s="47"/>
      <c r="H52" s="47"/>
      <c r="I52" s="47"/>
      <c r="J52" s="47"/>
      <c r="N52" s="16"/>
    </row>
    <row r="53" spans="1:21" outlineLevel="1">
      <c r="A53" s="34"/>
      <c r="B53" s="27" t="s">
        <v>215</v>
      </c>
      <c r="C53" s="252">
        <f>VLOOKUP(C4,Exposures,34,FALSE)/100</f>
        <v>2.0852465629577637E-2</v>
      </c>
      <c r="D53" s="48"/>
      <c r="E53" s="47"/>
      <c r="F53" s="47"/>
      <c r="G53" s="47"/>
      <c r="H53" s="47"/>
      <c r="I53" s="47"/>
      <c r="J53" s="47"/>
      <c r="N53" s="17"/>
    </row>
    <row r="54" spans="1:21" ht="15.75" customHeight="1" outlineLevel="1">
      <c r="A54" s="34"/>
      <c r="B54" s="166" t="s">
        <v>212</v>
      </c>
      <c r="C54" s="249">
        <f>1-C52</f>
        <v>0.53778190612792964</v>
      </c>
      <c r="D54" s="168"/>
      <c r="E54" s="47"/>
      <c r="F54" s="47"/>
      <c r="G54" s="47"/>
      <c r="H54" s="47"/>
      <c r="I54" s="47"/>
      <c r="J54" s="49"/>
      <c r="N54" s="17"/>
      <c r="O54" s="13"/>
      <c r="P54" s="13"/>
      <c r="Q54" s="13"/>
      <c r="R54" s="13"/>
      <c r="S54" s="13"/>
      <c r="T54" s="13"/>
      <c r="U54" s="13"/>
    </row>
    <row r="55" spans="1:21" ht="14.25" customHeight="1" outlineLevel="1">
      <c r="A55" s="34"/>
      <c r="B55" s="166" t="s">
        <v>213</v>
      </c>
      <c r="C55" s="249">
        <f>C52-C53</f>
        <v>0.44136562824249265</v>
      </c>
      <c r="D55" s="168"/>
      <c r="E55" s="47"/>
      <c r="F55" s="47"/>
      <c r="G55" s="47"/>
      <c r="H55" s="47"/>
      <c r="I55" s="47"/>
      <c r="J55" s="49"/>
      <c r="N55" s="17"/>
      <c r="O55" s="13"/>
      <c r="P55" s="13"/>
      <c r="Q55" s="13"/>
      <c r="R55" s="13"/>
      <c r="S55" s="13"/>
      <c r="T55" s="13"/>
      <c r="U55" s="13"/>
    </row>
    <row r="56" spans="1:21" ht="18.75" customHeight="1" outlineLevel="1">
      <c r="A56" s="34"/>
      <c r="B56" s="35"/>
      <c r="C56" s="250"/>
      <c r="D56" s="49"/>
      <c r="E56" s="47"/>
      <c r="F56" s="47"/>
      <c r="G56" s="47"/>
      <c r="H56" s="47"/>
      <c r="I56" s="47"/>
      <c r="J56" s="49"/>
      <c r="N56" s="17"/>
      <c r="O56" s="13"/>
      <c r="P56" s="13"/>
      <c r="Q56" s="13"/>
      <c r="R56" s="13"/>
      <c r="S56" s="13"/>
      <c r="T56" s="13"/>
      <c r="U56" s="13"/>
    </row>
    <row r="57" spans="1:21" outlineLevel="1">
      <c r="A57" s="34"/>
      <c r="B57" s="42" t="s">
        <v>14</v>
      </c>
      <c r="C57" s="253"/>
      <c r="D57" s="49"/>
      <c r="E57" s="47"/>
      <c r="F57" s="47"/>
      <c r="G57" s="47"/>
      <c r="H57" s="47"/>
      <c r="I57" s="47"/>
      <c r="J57" s="49"/>
      <c r="N57" s="17"/>
    </row>
    <row r="58" spans="1:21" outlineLevel="1">
      <c r="A58" s="34"/>
      <c r="B58" s="41" t="s">
        <v>37</v>
      </c>
      <c r="C58" s="252">
        <f>VLOOKUP(C4,Exposures,39,FALSE)/100</f>
        <v>0.51206779479980502</v>
      </c>
      <c r="D58" s="49"/>
      <c r="E58" s="47"/>
      <c r="F58" s="47"/>
      <c r="G58" s="118"/>
      <c r="H58" s="118"/>
      <c r="I58" s="47"/>
      <c r="J58" s="163"/>
      <c r="K58" s="43"/>
      <c r="N58" s="17"/>
    </row>
    <row r="59" spans="1:21" ht="18" customHeight="1" outlineLevel="1">
      <c r="A59" s="34"/>
      <c r="B59" s="28" t="s">
        <v>38</v>
      </c>
      <c r="C59" s="252">
        <f>VLOOKUP(C4,Exposures,42,FALSE)/100</f>
        <v>0.19242334676113099</v>
      </c>
      <c r="D59" s="49"/>
      <c r="E59" s="47"/>
      <c r="F59" s="47"/>
      <c r="G59" s="47"/>
      <c r="H59" s="47"/>
      <c r="I59" s="47"/>
      <c r="J59" s="47"/>
      <c r="N59" s="17"/>
    </row>
    <row r="60" spans="1:21" outlineLevel="1">
      <c r="A60" s="34"/>
      <c r="B60" s="166" t="s">
        <v>214</v>
      </c>
      <c r="C60" s="249">
        <f>1-C59</f>
        <v>0.80757665323886907</v>
      </c>
      <c r="D60" s="167"/>
      <c r="E60" s="47"/>
      <c r="F60" s="47"/>
      <c r="G60" s="47"/>
      <c r="H60" s="47"/>
      <c r="I60" s="119"/>
      <c r="J60" s="164"/>
      <c r="K60" s="19"/>
      <c r="L60" s="19"/>
      <c r="M60" s="19"/>
      <c r="N60" s="19"/>
      <c r="O60" s="13"/>
      <c r="P60" s="13"/>
      <c r="Q60" s="13"/>
      <c r="R60" s="13"/>
      <c r="S60" s="13"/>
      <c r="T60" s="13"/>
      <c r="U60" s="13"/>
    </row>
    <row r="61" spans="1:21" ht="15" customHeight="1" outlineLevel="1">
      <c r="A61" s="235"/>
      <c r="B61" s="326" t="s">
        <v>461</v>
      </c>
      <c r="C61" s="326"/>
      <c r="D61" s="326"/>
      <c r="E61" s="326"/>
      <c r="F61" s="326"/>
      <c r="G61" s="326"/>
      <c r="H61" s="326"/>
      <c r="I61" s="326"/>
      <c r="J61" s="326"/>
      <c r="K61" s="19"/>
      <c r="L61" s="19"/>
      <c r="M61" s="19"/>
      <c r="N61" s="19"/>
      <c r="O61" s="13"/>
      <c r="P61" s="13"/>
      <c r="Q61" s="13"/>
      <c r="R61" s="13"/>
      <c r="S61" s="13"/>
      <c r="T61" s="13"/>
      <c r="U61" s="13"/>
    </row>
    <row r="62" spans="1:21" ht="15">
      <c r="A62" s="235"/>
      <c r="B62" s="326"/>
      <c r="C62" s="326"/>
      <c r="D62" s="326"/>
      <c r="E62" s="326"/>
      <c r="F62" s="326"/>
      <c r="G62" s="326"/>
      <c r="H62" s="326"/>
      <c r="I62" s="326"/>
      <c r="J62" s="35"/>
      <c r="K62" s="19"/>
      <c r="L62" s="19"/>
      <c r="M62" s="19"/>
      <c r="N62" s="19"/>
      <c r="O62" s="13"/>
      <c r="P62" s="13"/>
      <c r="Q62" s="13"/>
      <c r="R62" s="13"/>
      <c r="S62" s="13"/>
      <c r="T62" s="13"/>
      <c r="U62" s="13"/>
    </row>
    <row r="63" spans="1:21" ht="21" customHeight="1">
      <c r="B63" s="7"/>
      <c r="C63" s="13"/>
      <c r="I63" s="18"/>
      <c r="J63" s="19"/>
      <c r="K63" s="19"/>
      <c r="L63" s="19"/>
      <c r="M63" s="19"/>
      <c r="N63" s="19"/>
      <c r="O63" s="13"/>
      <c r="P63" s="13"/>
      <c r="Q63" s="13"/>
      <c r="R63" s="13"/>
      <c r="S63" s="13"/>
      <c r="T63" s="13"/>
      <c r="U63" s="13"/>
    </row>
    <row r="64" spans="1:21" s="8" customFormat="1" ht="15.75" customHeight="1" outlineLevel="1" thickBot="1">
      <c r="A64" s="325" t="s">
        <v>440</v>
      </c>
      <c r="B64" s="325"/>
      <c r="C64" s="325"/>
      <c r="D64" s="325"/>
      <c r="E64" s="325"/>
      <c r="F64" s="325"/>
      <c r="G64" s="325"/>
      <c r="H64" s="121"/>
      <c r="I64" s="122"/>
      <c r="J64" s="123"/>
    </row>
    <row r="65" spans="1:25" s="8" customFormat="1" ht="15.75" customHeight="1" outlineLevel="1">
      <c r="A65" s="64"/>
      <c r="B65" s="65"/>
      <c r="C65" s="65"/>
      <c r="D65" s="66"/>
      <c r="E65" s="67"/>
      <c r="F65" s="67"/>
      <c r="G65" s="68"/>
      <c r="H65" s="65"/>
      <c r="I65" s="110"/>
      <c r="J65" s="111"/>
      <c r="K65" s="51"/>
      <c r="L65" s="51"/>
      <c r="M65" s="51"/>
      <c r="N65" s="51"/>
      <c r="O65" s="51"/>
      <c r="P65" s="51"/>
      <c r="Q65" s="51"/>
      <c r="R65" s="51"/>
      <c r="S65" s="51"/>
      <c r="T65" s="51"/>
      <c r="U65" s="51"/>
    </row>
    <row r="66" spans="1:25" s="8" customFormat="1" ht="15.75" customHeight="1" outlineLevel="1">
      <c r="A66" s="64"/>
      <c r="B66" s="188" t="s">
        <v>65</v>
      </c>
      <c r="C66" s="183" t="s">
        <v>43</v>
      </c>
      <c r="D66" s="68"/>
      <c r="E66" s="67"/>
      <c r="F66" s="67"/>
      <c r="G66" s="68"/>
      <c r="H66" s="65"/>
      <c r="I66" s="65"/>
      <c r="J66" s="65"/>
    </row>
    <row r="67" spans="1:25" s="8" customFormat="1" ht="15.75" customHeight="1" outlineLevel="1">
      <c r="A67" s="64"/>
      <c r="B67" s="77" t="s">
        <v>12</v>
      </c>
      <c r="C67" s="184"/>
      <c r="D67" s="68"/>
      <c r="E67" s="68"/>
      <c r="F67" s="67"/>
      <c r="G67" s="68"/>
      <c r="H67" s="65"/>
      <c r="I67" s="65"/>
      <c r="J67" s="112"/>
    </row>
    <row r="68" spans="1:25" s="8" customFormat="1" ht="15.75" customHeight="1" outlineLevel="1">
      <c r="A68" s="64"/>
      <c r="B68" s="305" t="s">
        <v>29</v>
      </c>
      <c r="C68" s="270">
        <f>1/0.4774681</f>
        <v>2.0943807554892149</v>
      </c>
      <c r="D68" s="181"/>
      <c r="E68" s="67"/>
      <c r="F68" s="65"/>
      <c r="G68" s="68"/>
      <c r="H68" s="65"/>
      <c r="I68" s="65"/>
      <c r="J68" s="65"/>
      <c r="K68" s="45"/>
      <c r="L68" s="45"/>
      <c r="M68" s="45"/>
      <c r="N68" s="45"/>
      <c r="O68" s="45"/>
    </row>
    <row r="69" spans="1:25" s="8" customFormat="1" ht="18" customHeight="1" outlineLevel="1">
      <c r="A69" s="64"/>
      <c r="B69" s="305" t="s">
        <v>26</v>
      </c>
      <c r="C69" s="270">
        <f>1/0.4774681*0.4963956</f>
        <v>1.0396413917495222</v>
      </c>
      <c r="D69" s="181"/>
      <c r="E69" s="67"/>
      <c r="F69" s="67"/>
      <c r="G69" s="68"/>
      <c r="H69" s="65"/>
      <c r="I69" s="65"/>
      <c r="J69" s="65"/>
      <c r="K69" s="125"/>
      <c r="L69" s="125"/>
      <c r="O69" s="125"/>
      <c r="P69" s="53"/>
      <c r="Q69" s="53"/>
      <c r="R69" s="53"/>
      <c r="S69" s="53"/>
      <c r="T69" s="53"/>
      <c r="U69" s="53"/>
      <c r="V69" s="53"/>
      <c r="W69" s="53"/>
      <c r="X69" s="53"/>
      <c r="Y69" s="53"/>
    </row>
    <row r="70" spans="1:25" s="8" customFormat="1" ht="15" customHeight="1" outlineLevel="1">
      <c r="A70" s="64"/>
      <c r="B70" s="305" t="s">
        <v>27</v>
      </c>
      <c r="C70" s="270">
        <f>1/0.4774681*0.6562404</f>
        <v>1.3744172647345445</v>
      </c>
      <c r="D70" s="181"/>
      <c r="E70" s="65"/>
      <c r="F70" s="67"/>
      <c r="G70" s="68"/>
      <c r="H70" s="65"/>
      <c r="I70" s="110"/>
      <c r="J70" s="113"/>
      <c r="K70" s="45"/>
      <c r="L70" s="126"/>
      <c r="M70" s="52"/>
      <c r="N70" s="126"/>
      <c r="O70" s="126"/>
      <c r="P70" s="54"/>
      <c r="Q70" s="54"/>
      <c r="R70" s="54"/>
      <c r="S70" s="54"/>
      <c r="T70" s="54"/>
      <c r="U70" s="54"/>
      <c r="V70" s="54"/>
      <c r="W70" s="54"/>
      <c r="X70" s="54"/>
      <c r="Y70" s="54"/>
    </row>
    <row r="71" spans="1:25" s="8" customFormat="1" ht="15.75" customHeight="1" outlineLevel="1">
      <c r="A71" s="64"/>
      <c r="B71" s="305" t="s">
        <v>28</v>
      </c>
      <c r="C71" s="270">
        <f>1/0.4774681*0.6330209</f>
        <v>1.3257867907824628</v>
      </c>
      <c r="D71" s="181"/>
      <c r="E71" s="67"/>
      <c r="F71" s="67"/>
      <c r="G71" s="68"/>
      <c r="H71" s="65"/>
      <c r="I71" s="65"/>
      <c r="J71" s="114"/>
      <c r="K71" s="127"/>
      <c r="L71" s="45"/>
      <c r="O71" s="128"/>
      <c r="P71" s="55"/>
      <c r="Q71" s="55"/>
      <c r="R71" s="56"/>
    </row>
    <row r="72" spans="1:25" s="8" customFormat="1" ht="15.75" customHeight="1" outlineLevel="1">
      <c r="A72" s="64"/>
      <c r="B72" s="182" t="s">
        <v>42</v>
      </c>
      <c r="C72" s="157">
        <f>1/0.5863258</f>
        <v>1.7055364099618335</v>
      </c>
      <c r="D72" s="181"/>
      <c r="E72" s="67"/>
      <c r="F72" s="65"/>
      <c r="G72" s="65"/>
      <c r="H72" s="65"/>
      <c r="I72" s="65"/>
      <c r="J72" s="115"/>
      <c r="K72" s="126"/>
      <c r="L72" s="128"/>
      <c r="M72" s="126"/>
      <c r="N72" s="45"/>
      <c r="O72" s="126"/>
      <c r="Q72" s="54"/>
      <c r="R72" s="55"/>
      <c r="S72" s="54"/>
      <c r="T72" s="54"/>
      <c r="U72" s="54"/>
      <c r="W72" s="54"/>
      <c r="Y72" s="54"/>
    </row>
    <row r="73" spans="1:25" s="8" customFormat="1" ht="15.75" customHeight="1" outlineLevel="1">
      <c r="A73" s="64"/>
      <c r="B73" s="182" t="s">
        <v>39</v>
      </c>
      <c r="C73" s="157">
        <f>1/0.5863258*0.6095686</f>
        <v>1.039641441669461</v>
      </c>
      <c r="D73" s="181"/>
      <c r="E73" s="67"/>
      <c r="F73" s="65"/>
      <c r="G73" s="65"/>
      <c r="H73" s="71"/>
      <c r="I73" s="65"/>
      <c r="J73" s="115"/>
      <c r="K73" s="128"/>
      <c r="L73" s="128"/>
      <c r="M73" s="128"/>
      <c r="N73" s="45"/>
      <c r="O73" s="128"/>
      <c r="P73" s="55"/>
      <c r="Q73" s="55"/>
      <c r="R73" s="55"/>
      <c r="S73" s="55"/>
      <c r="T73" s="55"/>
    </row>
    <row r="74" spans="1:25" s="8" customFormat="1" ht="15.75" customHeight="1" outlineLevel="1">
      <c r="A74" s="64"/>
      <c r="B74" s="182" t="s">
        <v>40</v>
      </c>
      <c r="C74" s="157">
        <f>1/0.5863258*0.8058563</f>
        <v>1.3744172608471263</v>
      </c>
      <c r="D74" s="181"/>
      <c r="E74" s="67"/>
      <c r="F74" s="65"/>
      <c r="G74" s="65"/>
      <c r="H74" s="71"/>
      <c r="I74" s="65"/>
      <c r="J74" s="115"/>
      <c r="K74" s="126"/>
      <c r="L74" s="126"/>
      <c r="M74" s="126"/>
      <c r="N74" s="126"/>
      <c r="O74" s="126"/>
      <c r="P74" s="54"/>
      <c r="Q74" s="54"/>
      <c r="R74" s="54"/>
      <c r="S74" s="54"/>
      <c r="T74" s="54"/>
      <c r="U74" s="54"/>
      <c r="V74" s="54"/>
      <c r="W74" s="54"/>
      <c r="X74" s="54"/>
    </row>
    <row r="75" spans="1:25" s="8" customFormat="1" ht="15.75" customHeight="1" outlineLevel="1">
      <c r="A75" s="64"/>
      <c r="B75" s="182" t="s">
        <v>41</v>
      </c>
      <c r="C75" s="157">
        <f>1/0.5863258*0.777343</f>
        <v>1.3257867895289617</v>
      </c>
      <c r="D75" s="181"/>
      <c r="E75" s="67"/>
      <c r="F75" s="65"/>
      <c r="G75" s="65"/>
      <c r="H75" s="71"/>
      <c r="I75" s="65"/>
      <c r="J75" s="114"/>
      <c r="K75" s="57"/>
      <c r="L75" s="57"/>
      <c r="M75" s="57"/>
      <c r="N75" s="57"/>
      <c r="O75" s="11"/>
      <c r="P75" s="11"/>
      <c r="Q75" s="11"/>
      <c r="R75" s="11"/>
      <c r="S75" s="11"/>
      <c r="T75" s="11"/>
    </row>
    <row r="76" spans="1:25" s="8" customFormat="1" ht="15.75" customHeight="1" outlineLevel="1">
      <c r="A76" s="64"/>
      <c r="B76" s="65"/>
      <c r="C76" s="70"/>
      <c r="D76" s="68"/>
      <c r="E76" s="67"/>
      <c r="F76" s="67"/>
      <c r="G76" s="67"/>
      <c r="H76" s="71"/>
      <c r="I76" s="65"/>
      <c r="J76" s="116"/>
      <c r="K76" s="57"/>
      <c r="L76" s="57"/>
      <c r="M76" s="57"/>
      <c r="N76" s="57"/>
      <c r="O76" s="11"/>
      <c r="P76" s="11"/>
      <c r="Q76" s="11"/>
      <c r="R76" s="11"/>
      <c r="S76" s="11"/>
      <c r="T76" s="11"/>
    </row>
    <row r="77" spans="1:25" s="8" customFormat="1" ht="15.75" customHeight="1" outlineLevel="1">
      <c r="A77" s="69"/>
      <c r="B77" s="40" t="s">
        <v>0</v>
      </c>
      <c r="C77" s="186"/>
      <c r="D77" s="65"/>
      <c r="E77" s="71"/>
      <c r="F77" s="71"/>
      <c r="G77" s="71"/>
      <c r="H77" s="71"/>
      <c r="I77" s="65"/>
      <c r="J77" s="117"/>
      <c r="K77" s="58"/>
      <c r="L77" s="57"/>
      <c r="M77" s="57"/>
      <c r="N77" s="57"/>
      <c r="O77" s="11"/>
      <c r="P77" s="11"/>
      <c r="Q77" s="11"/>
      <c r="R77" s="11"/>
      <c r="S77" s="11"/>
      <c r="T77" s="11"/>
    </row>
    <row r="78" spans="1:25" s="8" customFormat="1" ht="15.75" customHeight="1" outlineLevel="1">
      <c r="A78" s="69"/>
      <c r="B78" s="39" t="s">
        <v>365</v>
      </c>
      <c r="C78" s="268">
        <f>1/0.5283272</f>
        <v>1.8927664523045566</v>
      </c>
      <c r="D78" s="65"/>
      <c r="E78" s="71"/>
      <c r="F78" s="71"/>
      <c r="G78" s="71"/>
      <c r="H78" s="71"/>
      <c r="I78" s="65"/>
      <c r="J78" s="117"/>
      <c r="K78" s="57"/>
      <c r="L78" s="57"/>
      <c r="M78" s="57"/>
      <c r="N78" s="57"/>
      <c r="O78" s="11"/>
      <c r="P78" s="11"/>
      <c r="Q78" s="11"/>
      <c r="R78" s="11"/>
      <c r="S78" s="11"/>
      <c r="T78" s="11"/>
    </row>
    <row r="79" spans="1:25" s="8" customFormat="1" ht="15.75" customHeight="1" outlineLevel="1">
      <c r="A79" s="69"/>
      <c r="B79" s="27" t="s">
        <v>444</v>
      </c>
      <c r="C79" s="268">
        <f>1/0.6649076</f>
        <v>1.5039683709435716</v>
      </c>
      <c r="D79" s="65"/>
      <c r="E79" s="71"/>
      <c r="F79" s="71"/>
      <c r="G79" s="71"/>
      <c r="H79" s="71"/>
      <c r="I79" s="65"/>
      <c r="J79" s="117"/>
      <c r="K79" s="57"/>
      <c r="L79" s="57"/>
      <c r="M79" s="57"/>
      <c r="N79" s="57"/>
      <c r="O79" s="11"/>
      <c r="P79" s="11"/>
      <c r="Q79" s="11"/>
      <c r="R79" s="11"/>
      <c r="S79" s="11"/>
      <c r="T79" s="11"/>
    </row>
    <row r="80" spans="1:25" s="8" customFormat="1" ht="18" customHeight="1" outlineLevel="1">
      <c r="A80" s="69"/>
      <c r="B80" s="65"/>
      <c r="C80" s="70"/>
      <c r="D80" s="65"/>
      <c r="E80" s="71"/>
      <c r="F80" s="71"/>
      <c r="G80" s="71"/>
      <c r="H80" s="71"/>
      <c r="I80" s="65"/>
      <c r="J80" s="117"/>
      <c r="K80" s="59"/>
      <c r="L80" s="59"/>
      <c r="M80" s="59"/>
      <c r="N80" s="59"/>
      <c r="O80" s="11"/>
      <c r="P80" s="11"/>
      <c r="Q80" s="11"/>
      <c r="R80" s="11"/>
      <c r="S80" s="11"/>
      <c r="T80" s="11"/>
    </row>
    <row r="81" spans="1:20" s="8" customFormat="1" ht="18" customHeight="1" outlineLevel="1">
      <c r="A81" s="69"/>
      <c r="B81" s="42" t="s">
        <v>30</v>
      </c>
      <c r="C81" s="185"/>
      <c r="D81" s="65"/>
      <c r="E81" s="71"/>
      <c r="F81" s="71"/>
      <c r="G81" s="71"/>
      <c r="H81" s="71"/>
      <c r="I81" s="65"/>
      <c r="J81" s="116"/>
      <c r="K81" s="60"/>
      <c r="L81" s="57"/>
      <c r="M81" s="60"/>
      <c r="N81" s="57"/>
      <c r="O81" s="11"/>
      <c r="P81" s="11"/>
      <c r="Q81" s="11"/>
      <c r="R81" s="11"/>
      <c r="S81" s="11"/>
      <c r="T81" s="11"/>
    </row>
    <row r="82" spans="1:20" s="8" customFormat="1" ht="15.75" customHeight="1" outlineLevel="1">
      <c r="A82" s="69"/>
      <c r="B82" s="39" t="s">
        <v>443</v>
      </c>
      <c r="C82" s="267">
        <f>1/0.698</f>
        <v>1.4326647564469914</v>
      </c>
      <c r="D82" s="65"/>
      <c r="E82" s="71"/>
      <c r="F82" s="71"/>
      <c r="G82" s="71"/>
      <c r="H82" s="71"/>
      <c r="I82" s="65"/>
      <c r="J82" s="117"/>
      <c r="K82" s="61"/>
      <c r="L82" s="62"/>
      <c r="M82" s="61"/>
      <c r="N82" s="62"/>
      <c r="O82" s="11"/>
      <c r="P82" s="11"/>
      <c r="Q82" s="11"/>
      <c r="R82" s="11"/>
      <c r="S82" s="11"/>
      <c r="T82" s="11"/>
    </row>
    <row r="83" spans="1:20" s="8" customFormat="1" ht="15.75" customHeight="1" outlineLevel="1">
      <c r="A83" s="69"/>
      <c r="B83" s="65"/>
      <c r="C83" s="65"/>
      <c r="D83" s="65"/>
      <c r="E83" s="71"/>
      <c r="F83" s="71"/>
      <c r="G83" s="71"/>
      <c r="H83" s="71"/>
      <c r="I83" s="65"/>
      <c r="J83" s="117"/>
      <c r="K83" s="61"/>
      <c r="L83" s="60"/>
      <c r="M83" s="61"/>
      <c r="N83" s="60"/>
      <c r="O83" s="11"/>
      <c r="P83" s="11"/>
      <c r="Q83" s="11"/>
      <c r="R83" s="11"/>
      <c r="S83" s="11"/>
      <c r="T83" s="11"/>
    </row>
    <row r="84" spans="1:20" s="8" customFormat="1" ht="15.75" customHeight="1" outlineLevel="1">
      <c r="A84" s="69"/>
      <c r="B84" s="187" t="s">
        <v>66</v>
      </c>
      <c r="C84" s="65"/>
      <c r="D84" s="65"/>
      <c r="E84" s="71"/>
      <c r="F84" s="71"/>
      <c r="G84" s="71"/>
      <c r="H84" s="71"/>
      <c r="I84" s="65"/>
      <c r="J84" s="117"/>
      <c r="K84" s="61"/>
      <c r="L84" s="60"/>
      <c r="M84" s="61"/>
      <c r="N84" s="60"/>
      <c r="O84" s="11"/>
      <c r="P84" s="11"/>
      <c r="Q84" s="11"/>
      <c r="R84" s="11"/>
      <c r="S84" s="11"/>
      <c r="T84" s="11"/>
    </row>
    <row r="85" spans="1:20" s="8" customFormat="1" ht="18.75" customHeight="1" outlineLevel="1">
      <c r="A85" s="69"/>
      <c r="B85" s="42" t="s">
        <v>30</v>
      </c>
      <c r="C85" s="185"/>
      <c r="D85" s="65"/>
      <c r="E85" s="71"/>
      <c r="F85" s="71"/>
      <c r="G85" s="71"/>
      <c r="H85" s="71"/>
      <c r="I85" s="65"/>
      <c r="J85" s="117"/>
      <c r="K85" s="61"/>
      <c r="L85" s="60"/>
      <c r="M85" s="61"/>
      <c r="N85" s="60"/>
      <c r="O85" s="11"/>
      <c r="P85" s="11"/>
      <c r="Q85" s="11"/>
      <c r="R85" s="11"/>
      <c r="S85" s="11"/>
      <c r="T85" s="11"/>
    </row>
    <row r="86" spans="1:20" s="8" customFormat="1" ht="15.75" customHeight="1" outlineLevel="1">
      <c r="A86" s="69"/>
      <c r="B86" s="39" t="s">
        <v>443</v>
      </c>
      <c r="C86" s="267">
        <f>1/0.826</f>
        <v>1.2106537530266344</v>
      </c>
      <c r="D86" s="65"/>
      <c r="E86" s="161"/>
      <c r="F86" s="71"/>
      <c r="G86" s="71"/>
      <c r="H86" s="71"/>
      <c r="I86" s="65"/>
      <c r="J86" s="117"/>
      <c r="K86" s="61"/>
      <c r="L86" s="61"/>
      <c r="M86" s="61"/>
      <c r="N86" s="61"/>
      <c r="O86" s="11"/>
      <c r="P86" s="11"/>
      <c r="Q86" s="11"/>
      <c r="R86" s="11"/>
      <c r="S86" s="11"/>
      <c r="T86" s="11"/>
    </row>
    <row r="87" spans="1:20" s="8" customFormat="1">
      <c r="A87" s="69"/>
      <c r="B87" s="65"/>
      <c r="C87" s="65"/>
      <c r="D87" s="65"/>
      <c r="E87" s="71"/>
      <c r="F87" s="71"/>
      <c r="G87" s="71"/>
      <c r="H87" s="71"/>
      <c r="I87" s="65"/>
      <c r="J87" s="117"/>
      <c r="M87" s="60"/>
      <c r="N87" s="60"/>
      <c r="O87" s="11"/>
      <c r="P87" s="11"/>
      <c r="Q87" s="11"/>
      <c r="R87" s="11"/>
      <c r="S87" s="11"/>
      <c r="T87" s="11"/>
    </row>
    <row r="88" spans="1:20" s="8" customFormat="1">
      <c r="A88" s="26"/>
      <c r="E88" s="51"/>
      <c r="F88" s="51"/>
      <c r="G88" s="51"/>
      <c r="H88" s="51"/>
      <c r="J88" s="57"/>
      <c r="M88" s="63"/>
      <c r="N88" s="63"/>
      <c r="O88" s="11"/>
      <c r="P88" s="11"/>
      <c r="Q88" s="11"/>
      <c r="R88" s="11"/>
      <c r="S88" s="11"/>
      <c r="T88" s="11"/>
    </row>
    <row r="89" spans="1:20" s="45" customFormat="1" ht="19.5" outlineLevel="1" thickBot="1">
      <c r="A89" s="124" t="s">
        <v>442</v>
      </c>
      <c r="B89" s="106"/>
      <c r="C89" s="106"/>
      <c r="D89" s="106"/>
      <c r="E89" s="107"/>
      <c r="F89" s="107"/>
      <c r="G89" s="107"/>
      <c r="H89" s="107"/>
      <c r="I89" s="108"/>
      <c r="J89" s="109"/>
      <c r="M89" s="73"/>
      <c r="N89" s="73"/>
      <c r="O89" s="74"/>
      <c r="P89" s="74"/>
      <c r="Q89" s="74"/>
      <c r="R89" s="74"/>
      <c r="S89" s="74"/>
      <c r="T89" s="74"/>
    </row>
    <row r="90" spans="1:20" s="6" customFormat="1" outlineLevel="1">
      <c r="A90" s="88"/>
      <c r="B90" s="89"/>
      <c r="C90" s="89"/>
      <c r="D90" s="89"/>
      <c r="E90" s="90"/>
      <c r="F90" s="90"/>
      <c r="G90" s="90"/>
      <c r="H90" s="90"/>
      <c r="I90" s="89"/>
      <c r="J90" s="103"/>
      <c r="M90" s="75"/>
      <c r="N90" s="75"/>
    </row>
    <row r="91" spans="1:20" s="6" customFormat="1" ht="17.25" outlineLevel="1">
      <c r="A91" s="139">
        <v>1</v>
      </c>
      <c r="B91" s="141" t="s">
        <v>48</v>
      </c>
      <c r="C91" s="91"/>
      <c r="D91" s="91"/>
      <c r="E91" s="91"/>
      <c r="F91" s="91"/>
      <c r="G91" s="91"/>
      <c r="H91" s="91"/>
      <c r="I91" s="91"/>
      <c r="J91" s="91"/>
      <c r="M91" s="75"/>
      <c r="N91" s="76"/>
    </row>
    <row r="92" spans="1:20" s="6" customFormat="1" ht="17.25" outlineLevel="1">
      <c r="A92" s="139"/>
      <c r="B92" s="91"/>
      <c r="C92" s="91"/>
      <c r="D92" s="91"/>
      <c r="E92" s="91"/>
      <c r="F92" s="91"/>
      <c r="G92" s="91"/>
      <c r="H92" s="91"/>
      <c r="I92" s="91"/>
      <c r="J92" s="91"/>
      <c r="M92" s="76"/>
      <c r="N92" s="76"/>
    </row>
    <row r="93" spans="1:20" s="6" customFormat="1" ht="17.25" outlineLevel="1">
      <c r="A93" s="139"/>
      <c r="B93" s="78" t="s">
        <v>7</v>
      </c>
      <c r="C93" s="79" t="s">
        <v>2</v>
      </c>
      <c r="D93" s="80"/>
      <c r="E93" s="136" t="s">
        <v>46</v>
      </c>
      <c r="F93" s="93"/>
      <c r="G93" s="93"/>
      <c r="H93" s="91"/>
      <c r="I93" s="91"/>
      <c r="J93" s="104"/>
      <c r="M93" s="50"/>
      <c r="N93" s="50"/>
    </row>
    <row r="94" spans="1:20" s="6" customFormat="1" ht="17.25" outlineLevel="1">
      <c r="A94" s="139"/>
      <c r="B94" s="81" t="s">
        <v>12</v>
      </c>
      <c r="C94" s="82" t="s">
        <v>3</v>
      </c>
      <c r="D94" s="80"/>
      <c r="E94" s="144">
        <f>((C40*(C68-1)+C41*(C69-1)+C42*(C70-1)+C43*(C71-1))*C34+(C46*(C72-1)+C47*(C73-1)+C48*(C74-1)+C49*(C75-1))*C36)/((C40*(C68-1)+C41*(C69-1)+C42*(C70-1)+C43*(C71-1))*C34+(C46*(C72-1)+C47*(C73-1)+C48*(C74-1)+C49*(C75-1))*C36+1)</f>
        <v>0.39783102867498299</v>
      </c>
      <c r="F94" s="165"/>
      <c r="G94" s="91"/>
      <c r="H94" s="91"/>
      <c r="I94" s="91"/>
      <c r="J94" s="105"/>
    </row>
    <row r="95" spans="1:20" s="6" customFormat="1" ht="17.25" customHeight="1" outlineLevel="1">
      <c r="A95" s="139"/>
      <c r="B95" s="81" t="s">
        <v>13</v>
      </c>
      <c r="C95" s="82" t="s">
        <v>3</v>
      </c>
      <c r="D95" s="80"/>
      <c r="E95" s="144">
        <f>(C54*(C78-1)+C55*(C79-1))/((C54*(C78-1)+C55*(C79-1))+1)</f>
        <v>0.41264503388674606</v>
      </c>
      <c r="F95" s="91"/>
      <c r="G95" s="91"/>
      <c r="H95" s="91"/>
      <c r="I95" s="91"/>
      <c r="J95" s="91"/>
    </row>
    <row r="96" spans="1:20" s="6" customFormat="1" ht="17.25" customHeight="1" outlineLevel="1">
      <c r="A96" s="139"/>
      <c r="B96" s="81" t="s">
        <v>14</v>
      </c>
      <c r="C96" s="82" t="s">
        <v>3</v>
      </c>
      <c r="D96" s="80"/>
      <c r="E96" s="144">
        <f>C60*(C82-1)/(C60*(C82-1)+1)</f>
        <v>0.2589353624048184</v>
      </c>
      <c r="F96" s="91"/>
      <c r="G96" s="91"/>
      <c r="H96" s="91"/>
      <c r="I96" s="91"/>
      <c r="J96" s="91"/>
    </row>
    <row r="97" spans="1:10" s="6" customFormat="1" ht="17.25" outlineLevel="1">
      <c r="A97" s="139"/>
      <c r="B97" s="81" t="s">
        <v>15</v>
      </c>
      <c r="C97" s="82" t="s">
        <v>3</v>
      </c>
      <c r="D97" s="80"/>
      <c r="E97" s="144">
        <f>1-(1-E94)*(1-E95)*(1-E96)</f>
        <v>0.73789511913845596</v>
      </c>
      <c r="F97" s="91"/>
      <c r="G97" s="91"/>
      <c r="H97" s="91"/>
      <c r="I97" s="91"/>
      <c r="J97" s="91"/>
    </row>
    <row r="98" spans="1:10" s="6" customFormat="1" ht="17.25" outlineLevel="1">
      <c r="A98" s="139"/>
      <c r="B98" s="81" t="s">
        <v>14</v>
      </c>
      <c r="C98" s="83" t="s">
        <v>49</v>
      </c>
      <c r="D98" s="84"/>
      <c r="E98" s="144">
        <f>(C60*(C86-1))/(C60*(C86-1)+1)</f>
        <v>0.14538610617905981</v>
      </c>
      <c r="F98" s="165"/>
      <c r="G98" s="91"/>
      <c r="H98" s="91"/>
      <c r="I98" s="91"/>
      <c r="J98" s="91"/>
    </row>
    <row r="99" spans="1:10" s="6" customFormat="1" ht="17.25" outlineLevel="1">
      <c r="A99" s="139"/>
      <c r="B99" s="85" t="s">
        <v>15</v>
      </c>
      <c r="C99" s="82" t="s">
        <v>5</v>
      </c>
      <c r="D99" s="80"/>
      <c r="E99" s="144">
        <v>1</v>
      </c>
      <c r="F99" s="91" t="s">
        <v>67</v>
      </c>
      <c r="G99" s="91"/>
      <c r="H99" s="91"/>
      <c r="I99" s="91"/>
      <c r="J99" s="91"/>
    </row>
    <row r="100" spans="1:10" s="6" customFormat="1" ht="17.25" outlineLevel="1">
      <c r="A100" s="139"/>
      <c r="B100" s="85" t="s">
        <v>15</v>
      </c>
      <c r="C100" s="86" t="s">
        <v>16</v>
      </c>
      <c r="D100" s="87"/>
      <c r="E100" s="144">
        <f>E97*VLOOKUP(C4,PAF_Nutrition_from_diarrhoa,6,FALSE)</f>
        <v>0.14229486653935394</v>
      </c>
      <c r="F100" s="91" t="s">
        <v>459</v>
      </c>
      <c r="G100" s="91"/>
      <c r="H100" s="91"/>
      <c r="I100" s="91"/>
      <c r="J100" s="91"/>
    </row>
    <row r="101" spans="1:10" s="6" customFormat="1" ht="17.25" outlineLevel="1">
      <c r="A101" s="139"/>
      <c r="B101" s="91"/>
      <c r="C101" s="91"/>
      <c r="D101" s="91"/>
      <c r="E101" s="91"/>
      <c r="F101" s="91"/>
      <c r="G101" s="91"/>
      <c r="H101" s="91"/>
      <c r="I101" s="91"/>
      <c r="J101" s="91"/>
    </row>
    <row r="102" spans="1:10" s="6" customFormat="1" ht="17.25" outlineLevel="1">
      <c r="A102" s="139">
        <v>2</v>
      </c>
      <c r="B102" s="141" t="s">
        <v>44</v>
      </c>
      <c r="C102" s="91"/>
      <c r="D102" s="91"/>
      <c r="E102" s="91"/>
      <c r="F102" s="91"/>
      <c r="G102" s="91"/>
      <c r="H102" s="91"/>
      <c r="I102" s="91"/>
      <c r="J102" s="91"/>
    </row>
    <row r="103" spans="1:10" ht="17.25" outlineLevel="1">
      <c r="A103" s="139"/>
      <c r="B103" s="91"/>
      <c r="C103" s="91"/>
      <c r="D103" s="91"/>
      <c r="E103" s="91"/>
      <c r="F103" s="91"/>
      <c r="G103" s="91"/>
      <c r="H103" s="91"/>
      <c r="I103" s="91"/>
      <c r="J103" s="91"/>
    </row>
    <row r="104" spans="1:10" ht="30" outlineLevel="1">
      <c r="A104" s="140"/>
      <c r="B104" s="78" t="s">
        <v>7</v>
      </c>
      <c r="C104" s="79" t="s">
        <v>2</v>
      </c>
      <c r="D104" s="80"/>
      <c r="E104" s="95" t="s">
        <v>8</v>
      </c>
      <c r="F104" s="95" t="s">
        <v>9</v>
      </c>
      <c r="G104" s="95" t="s">
        <v>10</v>
      </c>
      <c r="H104" s="95" t="s">
        <v>364</v>
      </c>
      <c r="I104" s="95" t="s">
        <v>11</v>
      </c>
      <c r="J104" s="94"/>
    </row>
    <row r="105" spans="1:10" ht="17.25" outlineLevel="1">
      <c r="A105" s="140"/>
      <c r="B105" s="81" t="s">
        <v>12</v>
      </c>
      <c r="C105" s="82" t="s">
        <v>3</v>
      </c>
      <c r="D105" s="80"/>
      <c r="E105" s="158">
        <f>C15*E94</f>
        <v>2066.8277666550662</v>
      </c>
      <c r="F105" s="158">
        <f>D15*E94</f>
        <v>1168.3161900874384</v>
      </c>
      <c r="G105" s="158">
        <f>E15*E94</f>
        <v>1041.7642556076362</v>
      </c>
      <c r="H105" s="158">
        <f>F15*E94</f>
        <v>2210.0803485683587</v>
      </c>
      <c r="I105" s="224">
        <f>H105/(F$10*1000)*100000</f>
        <v>5.8096167886389223</v>
      </c>
      <c r="J105" s="94"/>
    </row>
    <row r="106" spans="1:10" ht="17.25" outlineLevel="1">
      <c r="A106" s="140"/>
      <c r="B106" s="81" t="s">
        <v>13</v>
      </c>
      <c r="C106" s="82" t="s">
        <v>3</v>
      </c>
      <c r="D106" s="80"/>
      <c r="E106" s="158">
        <f>C15*E95</f>
        <v>2143.7900825634583</v>
      </c>
      <c r="F106" s="158">
        <f>D15*E95</f>
        <v>1211.8206954715124</v>
      </c>
      <c r="G106" s="158">
        <f>E15*E95</f>
        <v>1080.5563557698588</v>
      </c>
      <c r="H106" s="158">
        <f>F15*E95</f>
        <v>2292.376950497955</v>
      </c>
      <c r="I106" s="224">
        <f>H106/(F$10*1000)*100000</f>
        <v>6.0259490683806192</v>
      </c>
      <c r="J106" s="94"/>
    </row>
    <row r="107" spans="1:10" ht="17.25" outlineLevel="1">
      <c r="A107" s="140"/>
      <c r="B107" s="81" t="s">
        <v>14</v>
      </c>
      <c r="C107" s="82" t="s">
        <v>3</v>
      </c>
      <c r="D107" s="80"/>
      <c r="E107" s="158">
        <f>C15*E96</f>
        <v>1345.2314128679843</v>
      </c>
      <c r="F107" s="158">
        <f>D15*E96</f>
        <v>760.41925912937472</v>
      </c>
      <c r="G107" s="158">
        <f>E15*E96</f>
        <v>678.05069394556244</v>
      </c>
      <c r="H107" s="158">
        <f>F15*E96</f>
        <v>1438.469889858296</v>
      </c>
      <c r="I107" s="224">
        <f>H107/(F$10*1000)*100000</f>
        <v>3.7812918555136652</v>
      </c>
      <c r="J107" s="94"/>
    </row>
    <row r="108" spans="1:10" ht="17.25" outlineLevel="1">
      <c r="A108" s="140"/>
      <c r="B108" s="81" t="s">
        <v>15</v>
      </c>
      <c r="C108" s="82" t="s">
        <v>3</v>
      </c>
      <c r="D108" s="80"/>
      <c r="E108" s="158">
        <f>C15*E97</f>
        <v>3833.5424116970403</v>
      </c>
      <c r="F108" s="158">
        <f>D15*E97</f>
        <v>2166.9873693544027</v>
      </c>
      <c r="G108" s="158">
        <f>E15*E97</f>
        <v>1932.2594370430538</v>
      </c>
      <c r="H108" s="158">
        <f>F15*E97</f>
        <v>4099.2466262472808</v>
      </c>
      <c r="I108" s="224">
        <f>H108/(F$10*1000)*100000</f>
        <v>10.77564986994456</v>
      </c>
      <c r="J108" s="94"/>
    </row>
    <row r="109" spans="1:10" ht="17.25" outlineLevel="1">
      <c r="A109" s="140"/>
      <c r="B109" s="81" t="s">
        <v>14</v>
      </c>
      <c r="C109" s="83" t="s">
        <v>49</v>
      </c>
      <c r="D109" s="84"/>
      <c r="E109" s="158">
        <f>C16*E98</f>
        <v>1426.0916056173012</v>
      </c>
      <c r="F109" s="158">
        <f>D16*E98</f>
        <v>1149.1185792276924</v>
      </c>
      <c r="G109" s="158">
        <f>E16*E98</f>
        <v>982.12708962222712</v>
      </c>
      <c r="H109" s="158">
        <f>F16*E98</f>
        <v>2131.2458818178484</v>
      </c>
      <c r="I109" s="224">
        <f>H109/(F10*1000)*100000</f>
        <v>5.6023853900819223</v>
      </c>
      <c r="J109" s="94"/>
    </row>
    <row r="110" spans="1:10" ht="17.25" outlineLevel="1">
      <c r="A110" s="140"/>
      <c r="B110" s="85" t="s">
        <v>15</v>
      </c>
      <c r="C110" s="82" t="s">
        <v>5</v>
      </c>
      <c r="D110" s="80"/>
      <c r="E110" s="158">
        <f>1*C17</f>
        <v>10.601181983947754</v>
      </c>
      <c r="F110" s="158">
        <f t="shared" ref="F110:H110" si="0">1*D17</f>
        <v>9.3193445205688477</v>
      </c>
      <c r="G110" s="158">
        <f t="shared" si="0"/>
        <v>7.561190128326416</v>
      </c>
      <c r="H110" s="158">
        <f t="shared" si="0"/>
        <v>16.880531311035156</v>
      </c>
      <c r="I110" s="224">
        <f>H110/(F10*1000)*100000</f>
        <v>4.4373689024139795E-2</v>
      </c>
      <c r="J110" s="94"/>
    </row>
    <row r="111" spans="1:10" ht="17.25" outlineLevel="1">
      <c r="A111" s="140"/>
      <c r="B111" s="85" t="s">
        <v>15</v>
      </c>
      <c r="C111" s="82" t="s">
        <v>16</v>
      </c>
      <c r="D111" s="80"/>
      <c r="E111" s="169">
        <f>C18*E100</f>
        <v>53.133106394547021</v>
      </c>
      <c r="F111" s="239"/>
      <c r="G111" s="239"/>
      <c r="H111" s="239"/>
      <c r="I111" s="224">
        <f>E111/(F10*1000)*100000</f>
        <v>0.13967048172807675</v>
      </c>
      <c r="J111" s="91"/>
    </row>
    <row r="112" spans="1:10" ht="17.25" outlineLevel="1">
      <c r="A112" s="140"/>
      <c r="B112" s="170" t="s">
        <v>15</v>
      </c>
      <c r="C112" s="319" t="s">
        <v>367</v>
      </c>
      <c r="D112" s="320"/>
      <c r="E112" s="171">
        <f>E108+E109+E110+E111</f>
        <v>5323.3683056928367</v>
      </c>
      <c r="F112" s="171">
        <f t="shared" ref="F112:H112" si="1">F108+F109+F110+F111</f>
        <v>3325.425293102664</v>
      </c>
      <c r="G112" s="171">
        <f t="shared" si="1"/>
        <v>2921.9477167936075</v>
      </c>
      <c r="H112" s="171">
        <f t="shared" si="1"/>
        <v>6247.3730393761643</v>
      </c>
      <c r="I112" s="225">
        <f>H112/(F10*1000)*100000</f>
        <v>16.422408949050624</v>
      </c>
      <c r="J112" s="94"/>
    </row>
    <row r="113" spans="1:12" ht="17.25" outlineLevel="1">
      <c r="A113" s="140"/>
      <c r="B113" s="91" t="s">
        <v>460</v>
      </c>
      <c r="C113" s="91"/>
      <c r="D113" s="91"/>
      <c r="E113" s="97"/>
      <c r="F113" s="97"/>
      <c r="G113" s="97"/>
      <c r="H113" s="98"/>
      <c r="I113" s="101"/>
      <c r="J113" s="94"/>
    </row>
    <row r="114" spans="1:12" ht="17.25" outlineLevel="1">
      <c r="A114" s="140"/>
      <c r="B114" s="100"/>
      <c r="C114" s="91"/>
      <c r="D114" s="91"/>
      <c r="E114" s="97"/>
      <c r="F114" s="97"/>
      <c r="G114" s="97"/>
      <c r="H114" s="98"/>
      <c r="I114" s="101"/>
      <c r="J114" s="94"/>
    </row>
    <row r="115" spans="1:12" ht="17.25" outlineLevel="1">
      <c r="A115" s="140">
        <v>3</v>
      </c>
      <c r="B115" s="142" t="s">
        <v>45</v>
      </c>
      <c r="C115" s="94"/>
      <c r="D115" s="94"/>
      <c r="E115" s="94"/>
      <c r="F115" s="94"/>
      <c r="G115" s="94"/>
      <c r="H115" s="94"/>
      <c r="I115" s="94"/>
      <c r="J115" s="97"/>
    </row>
    <row r="116" spans="1:12" ht="40.5" customHeight="1" outlineLevel="1">
      <c r="A116" s="140"/>
      <c r="B116" s="102"/>
      <c r="C116" s="94"/>
      <c r="D116" s="94"/>
      <c r="E116" s="94"/>
      <c r="F116" s="94"/>
      <c r="G116" s="94"/>
      <c r="H116" s="94"/>
      <c r="I116" s="94"/>
      <c r="J116" s="97"/>
    </row>
    <row r="117" spans="1:12" ht="30" outlineLevel="1">
      <c r="A117" s="140"/>
      <c r="B117" s="78" t="s">
        <v>7</v>
      </c>
      <c r="C117" s="79" t="s">
        <v>2</v>
      </c>
      <c r="D117" s="80"/>
      <c r="E117" s="95" t="s">
        <v>19</v>
      </c>
      <c r="F117" s="95" t="s">
        <v>17</v>
      </c>
      <c r="G117" s="95" t="s">
        <v>18</v>
      </c>
      <c r="H117" s="95" t="s">
        <v>366</v>
      </c>
      <c r="I117" s="94"/>
      <c r="J117" s="99"/>
      <c r="K117" s="10"/>
      <c r="L117" s="20"/>
    </row>
    <row r="118" spans="1:12" ht="17.25" outlineLevel="1">
      <c r="A118" s="140"/>
      <c r="B118" s="81" t="s">
        <v>12</v>
      </c>
      <c r="C118" s="82" t="s">
        <v>3</v>
      </c>
      <c r="D118" s="80"/>
      <c r="E118" s="180">
        <f>C21*E94</f>
        <v>193052.56657793146</v>
      </c>
      <c r="F118" s="180">
        <f>D21*E94</f>
        <v>119189.96484329092</v>
      </c>
      <c r="G118" s="180">
        <f>E21*E94</f>
        <v>106341.93717891446</v>
      </c>
      <c r="H118" s="180">
        <f>F21*E94</f>
        <v>225531.90202220538</v>
      </c>
      <c r="I118" s="99"/>
      <c r="J118" s="99"/>
      <c r="L118" s="20"/>
    </row>
    <row r="119" spans="1:12" ht="17.25" outlineLevel="1">
      <c r="A119" s="140"/>
      <c r="B119" s="81" t="s">
        <v>13</v>
      </c>
      <c r="C119" s="82" t="s">
        <v>3</v>
      </c>
      <c r="D119" s="80"/>
      <c r="E119" s="180">
        <f>C21*E95</f>
        <v>200241.25102256826</v>
      </c>
      <c r="F119" s="180">
        <f>D21*E95</f>
        <v>123628.23293479487</v>
      </c>
      <c r="G119" s="180">
        <f>E21*E95</f>
        <v>110301.78419447855</v>
      </c>
      <c r="H119" s="180">
        <f>F21*E95</f>
        <v>233930.01712927342</v>
      </c>
      <c r="I119" s="94"/>
      <c r="J119" s="97"/>
      <c r="L119" s="20"/>
    </row>
    <row r="120" spans="1:12" ht="17.25" outlineLevel="1">
      <c r="A120" s="140"/>
      <c r="B120" s="81" t="s">
        <v>14</v>
      </c>
      <c r="C120" s="82" t="s">
        <v>3</v>
      </c>
      <c r="D120" s="80"/>
      <c r="E120" s="180">
        <f>C21*E96</f>
        <v>125651.67794107871</v>
      </c>
      <c r="F120" s="180">
        <f>D21*E96</f>
        <v>77576.897017072319</v>
      </c>
      <c r="G120" s="180">
        <f>E21*E96</f>
        <v>69214.530937828255</v>
      </c>
      <c r="H120" s="180">
        <f>F21*E96</f>
        <v>146791.42795490057</v>
      </c>
      <c r="I120" s="94"/>
      <c r="J120" s="97"/>
      <c r="L120" s="20"/>
    </row>
    <row r="121" spans="1:12" ht="17.25" outlineLevel="1">
      <c r="A121" s="140"/>
      <c r="B121" s="81" t="s">
        <v>15</v>
      </c>
      <c r="C121" s="82" t="s">
        <v>3</v>
      </c>
      <c r="D121" s="80"/>
      <c r="E121" s="180">
        <f>C21*E97</f>
        <v>358072.99166548229</v>
      </c>
      <c r="F121" s="180">
        <f>D21*E97</f>
        <v>221072.98568709937</v>
      </c>
      <c r="G121" s="180">
        <f>E21*E97</f>
        <v>197242.52445918808</v>
      </c>
      <c r="H121" s="180">
        <f>F21*E97</f>
        <v>418315.51014628744</v>
      </c>
      <c r="I121" s="94"/>
      <c r="J121" s="97"/>
      <c r="L121" s="20"/>
    </row>
    <row r="122" spans="1:12" outlineLevel="1">
      <c r="A122" s="92"/>
      <c r="B122" s="81" t="s">
        <v>14</v>
      </c>
      <c r="C122" s="83" t="s">
        <v>49</v>
      </c>
      <c r="D122" s="84"/>
      <c r="E122" s="180">
        <f>C22*E98</f>
        <v>127971.20409640222</v>
      </c>
      <c r="F122" s="180">
        <f>D22*E98</f>
        <v>85206.335295413592</v>
      </c>
      <c r="G122" s="180">
        <f>E22*E98</f>
        <v>71805.320981884754</v>
      </c>
      <c r="H122" s="180">
        <f>F22*E98</f>
        <v>157011.63356071923</v>
      </c>
      <c r="I122" s="94"/>
      <c r="J122" s="97"/>
      <c r="L122" s="20"/>
    </row>
    <row r="123" spans="1:12" outlineLevel="1">
      <c r="A123" s="92"/>
      <c r="B123" s="85" t="s">
        <v>15</v>
      </c>
      <c r="C123" s="82" t="s">
        <v>5</v>
      </c>
      <c r="D123" s="80"/>
      <c r="E123" s="180">
        <f>1*C23</f>
        <v>3049.6533203125</v>
      </c>
      <c r="F123" s="180">
        <f t="shared" ref="F123:H123" si="2">1*D23</f>
        <v>7926.26123046875</v>
      </c>
      <c r="G123" s="180">
        <f t="shared" si="2"/>
        <v>8261.47265625</v>
      </c>
      <c r="H123" s="180">
        <f t="shared" si="2"/>
        <v>16187.7353515625</v>
      </c>
      <c r="I123" s="94"/>
      <c r="J123" s="97"/>
      <c r="L123" s="20"/>
    </row>
    <row r="124" spans="1:12" outlineLevel="1">
      <c r="A124" s="92"/>
      <c r="B124" s="85" t="s">
        <v>15</v>
      </c>
      <c r="C124" s="86" t="s">
        <v>16</v>
      </c>
      <c r="D124" s="87"/>
      <c r="E124" s="180">
        <f>C24*E100</f>
        <v>6088.0008214699283</v>
      </c>
      <c r="F124" s="238"/>
      <c r="G124" s="238"/>
      <c r="H124" s="238"/>
      <c r="I124" s="94"/>
      <c r="J124" s="97"/>
    </row>
    <row r="125" spans="1:12">
      <c r="A125" s="92"/>
      <c r="B125" s="172" t="s">
        <v>368</v>
      </c>
      <c r="C125" s="321" t="s">
        <v>367</v>
      </c>
      <c r="D125" s="322"/>
      <c r="E125" s="189">
        <f>E121+E122+E123+E124</f>
        <v>495181.84990366694</v>
      </c>
      <c r="F125" s="189">
        <f t="shared" ref="F125:H125" si="3">F121+F122+F123+F124</f>
        <v>314205.58221298171</v>
      </c>
      <c r="G125" s="189">
        <f t="shared" si="3"/>
        <v>277309.31809732283</v>
      </c>
      <c r="H125" s="189">
        <f t="shared" si="3"/>
        <v>591514.8790585692</v>
      </c>
      <c r="I125" s="94"/>
      <c r="J125" s="94"/>
    </row>
    <row r="126" spans="1:12">
      <c r="A126" s="92"/>
      <c r="B126" s="96"/>
      <c r="C126" s="94"/>
      <c r="D126" s="94"/>
      <c r="E126" s="94"/>
      <c r="F126" s="94"/>
      <c r="G126" s="94"/>
      <c r="H126" s="94"/>
      <c r="I126" s="94"/>
      <c r="J126" s="94"/>
    </row>
    <row r="128" spans="1:12">
      <c r="H128" s="5"/>
    </row>
  </sheetData>
  <mergeCells count="9">
    <mergeCell ref="C125:D125"/>
    <mergeCell ref="C4:D4"/>
    <mergeCell ref="B61:J61"/>
    <mergeCell ref="B62:I62"/>
    <mergeCell ref="A64:G64"/>
    <mergeCell ref="C112:D112"/>
    <mergeCell ref="A6:G6"/>
    <mergeCell ref="C13:F13"/>
    <mergeCell ref="C19:F19"/>
  </mergeCells>
  <pageMargins left="0.7" right="0.7" top="0.75" bottom="0.75" header="0.3" footer="0.3"/>
  <pageSetup paperSize="9" scale="38" orientation="portrait" r:id="rId1"/>
  <ignoredErrors>
    <ignoredError sqref="E110 E123"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77D29A8-F564-46A5-9D16-9D6EB6CA55CF}">
          <x14:formula1>
            <xm:f>'Population and GHE'!$A$2:$A$133</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B1B5D-2C58-485A-9AB3-C41EC17CBB14}">
  <sheetPr>
    <tabColor theme="5" tint="-0.249977111117893"/>
    <pageSetUpPr fitToPage="1"/>
  </sheetPr>
  <dimension ref="A1:Y128"/>
  <sheetViews>
    <sheetView tabSelected="1" topLeftCell="A35" zoomScale="80" zoomScaleNormal="80" workbookViewId="0">
      <selection activeCell="H31" sqref="H31"/>
    </sheetView>
  </sheetViews>
  <sheetFormatPr defaultColWidth="10.140625" defaultRowHeight="15.75" outlineLevelRow="1"/>
  <cols>
    <col min="1" max="1" width="3.42578125" style="26" customWidth="1"/>
    <col min="2" max="2" width="80.28515625" style="3" customWidth="1"/>
    <col min="3" max="3" width="15.7109375" style="3" customWidth="1"/>
    <col min="4" max="4" width="17" style="3" customWidth="1"/>
    <col min="5" max="5" width="14.7109375" style="3" customWidth="1"/>
    <col min="6" max="6" width="15" style="3" customWidth="1"/>
    <col min="7" max="7" width="16.85546875" style="3" customWidth="1"/>
    <col min="8" max="8" width="14.140625" style="3" customWidth="1"/>
    <col min="9" max="9" width="20.7109375" style="3" customWidth="1"/>
    <col min="10" max="10" width="11.42578125" style="3" customWidth="1"/>
    <col min="11" max="11" width="17.7109375" style="3" customWidth="1"/>
    <col min="12" max="12" width="16" style="3" customWidth="1"/>
    <col min="13" max="13" width="18.42578125" style="3" customWidth="1"/>
    <col min="14" max="14" width="16.42578125" style="3" bestFit="1" customWidth="1"/>
    <col min="15" max="16384" width="10.140625" style="3"/>
  </cols>
  <sheetData>
    <row r="1" spans="1:12" s="7" customFormat="1" ht="19.5">
      <c r="A1" s="156" t="s">
        <v>1</v>
      </c>
      <c r="C1" s="4"/>
      <c r="D1" s="4"/>
      <c r="E1" s="4"/>
      <c r="F1" s="4"/>
      <c r="G1" s="4"/>
      <c r="H1" s="4"/>
    </row>
    <row r="2" spans="1:12" s="8" customFormat="1">
      <c r="A2" s="44"/>
      <c r="B2" s="1"/>
      <c r="C2" s="45"/>
      <c r="D2" s="45"/>
      <c r="E2" s="4"/>
      <c r="F2" s="45"/>
      <c r="G2" s="45"/>
      <c r="H2" s="45"/>
    </row>
    <row r="3" spans="1:12" s="8" customFormat="1">
      <c r="A3" s="44"/>
      <c r="D3" s="45"/>
      <c r="E3" s="4"/>
      <c r="F3" s="45"/>
      <c r="G3" s="45"/>
      <c r="H3" s="45"/>
    </row>
    <row r="4" spans="1:12" s="2" customFormat="1" ht="18" customHeight="1">
      <c r="A4" s="219" t="s">
        <v>432</v>
      </c>
      <c r="B4" s="220"/>
      <c r="C4" s="229" t="str">
        <f>'Scenario SDG'!C4</f>
        <v>Afghanistan</v>
      </c>
      <c r="D4" s="228"/>
      <c r="E4" s="4"/>
      <c r="F4" s="1"/>
      <c r="G4" s="1"/>
      <c r="H4" s="1"/>
    </row>
    <row r="5" spans="1:12" s="9" customFormat="1" ht="18.75">
      <c r="A5" s="46"/>
      <c r="B5" s="72"/>
      <c r="C5" s="72"/>
      <c r="D5" s="72"/>
      <c r="E5" s="4"/>
      <c r="F5" s="72"/>
      <c r="G5" s="72"/>
      <c r="H5" s="72"/>
    </row>
    <row r="6" spans="1:12" s="9" customFormat="1" ht="19.5" thickBot="1">
      <c r="A6" s="324" t="s">
        <v>441</v>
      </c>
      <c r="B6" s="324"/>
      <c r="C6" s="324"/>
      <c r="D6" s="324"/>
      <c r="E6" s="324"/>
      <c r="F6" s="324"/>
      <c r="G6" s="324"/>
      <c r="H6" s="120"/>
      <c r="I6" s="120"/>
      <c r="J6" s="120"/>
    </row>
    <row r="7" spans="1:12" s="9" customFormat="1" ht="18.75" outlineLevel="1">
      <c r="A7" s="137"/>
      <c r="B7" s="31"/>
      <c r="C7" s="31"/>
      <c r="D7" s="31"/>
      <c r="E7" s="31"/>
      <c r="F7" s="30"/>
      <c r="G7" s="30"/>
      <c r="H7" s="30"/>
      <c r="I7" s="30"/>
      <c r="J7" s="30"/>
    </row>
    <row r="8" spans="1:12" s="9" customFormat="1" ht="18.75" outlineLevel="1">
      <c r="A8" s="137">
        <v>1</v>
      </c>
      <c r="B8" s="32" t="s">
        <v>361</v>
      </c>
      <c r="C8" s="33"/>
      <c r="D8" s="33"/>
      <c r="E8" s="33"/>
      <c r="F8" s="29"/>
      <c r="G8" s="151"/>
      <c r="H8" s="30"/>
      <c r="I8" s="30"/>
      <c r="J8" s="30"/>
    </row>
    <row r="9" spans="1:12" s="9" customFormat="1" ht="21.75" customHeight="1" outlineLevel="1">
      <c r="A9" s="137"/>
      <c r="B9" s="23"/>
      <c r="C9" s="24" t="s">
        <v>24</v>
      </c>
      <c r="D9" s="24" t="s">
        <v>23</v>
      </c>
      <c r="E9" s="24" t="s">
        <v>22</v>
      </c>
      <c r="F9" s="24" t="s">
        <v>21</v>
      </c>
      <c r="G9" s="30"/>
      <c r="H9" s="206"/>
      <c r="I9" s="151"/>
      <c r="J9" s="151"/>
      <c r="K9" s="2"/>
      <c r="L9" s="2"/>
    </row>
    <row r="10" spans="1:12" ht="17.25" outlineLevel="1">
      <c r="A10" s="138"/>
      <c r="B10" s="22" t="s">
        <v>417</v>
      </c>
      <c r="C10" s="230">
        <f>'Scenario ALT'!C10-'Scenario SDG'!C10</f>
        <v>0</v>
      </c>
      <c r="D10" s="230">
        <f>'Scenario ALT'!D10-'Scenario SDG'!D10</f>
        <v>0</v>
      </c>
      <c r="E10" s="230">
        <f>'Scenario ALT'!E10-'Scenario SDG'!E10</f>
        <v>0</v>
      </c>
      <c r="F10" s="230">
        <f>'Scenario ALT'!F10-'Scenario SDG'!F10</f>
        <v>0</v>
      </c>
      <c r="G10" s="152"/>
      <c r="H10" s="206"/>
      <c r="I10" s="153"/>
      <c r="J10" s="153"/>
      <c r="K10" s="8"/>
      <c r="L10" s="8"/>
    </row>
    <row r="11" spans="1:12" ht="17.25" outlineLevel="1">
      <c r="A11" s="138"/>
      <c r="B11" s="35" t="s">
        <v>362</v>
      </c>
      <c r="C11" s="35"/>
      <c r="D11" s="35"/>
      <c r="E11" s="35"/>
      <c r="F11" s="35"/>
      <c r="G11" s="152"/>
      <c r="H11" s="206"/>
      <c r="I11" s="154"/>
      <c r="J11" s="153"/>
      <c r="K11" s="8"/>
      <c r="L11" s="8"/>
    </row>
    <row r="12" spans="1:12" ht="17.25" outlineLevel="1">
      <c r="A12" s="138"/>
      <c r="B12" s="35"/>
      <c r="C12" s="35"/>
      <c r="D12" s="35"/>
      <c r="E12" s="35"/>
      <c r="F12" s="35"/>
      <c r="G12" s="152"/>
      <c r="H12" s="207"/>
      <c r="I12" s="154"/>
      <c r="J12" s="153"/>
      <c r="K12" s="8"/>
      <c r="L12" s="8"/>
    </row>
    <row r="13" spans="1:12" ht="18" customHeight="1" outlineLevel="1">
      <c r="A13" s="138">
        <v>2</v>
      </c>
      <c r="B13" s="36" t="s">
        <v>32</v>
      </c>
      <c r="C13" s="323"/>
      <c r="D13" s="323"/>
      <c r="E13" s="323"/>
      <c r="F13" s="323"/>
      <c r="G13" s="152"/>
      <c r="H13" s="207"/>
      <c r="I13" s="153"/>
      <c r="J13" s="153"/>
      <c r="K13" s="8"/>
      <c r="L13" s="8"/>
    </row>
    <row r="14" spans="1:12" ht="30" outlineLevel="1">
      <c r="A14" s="138"/>
      <c r="B14" s="23" t="s">
        <v>31</v>
      </c>
      <c r="C14" s="24" t="s">
        <v>8</v>
      </c>
      <c r="D14" s="24" t="s">
        <v>9</v>
      </c>
      <c r="E14" s="24" t="s">
        <v>10</v>
      </c>
      <c r="F14" s="24" t="s">
        <v>25</v>
      </c>
      <c r="G14" s="152"/>
      <c r="H14" s="207"/>
      <c r="I14" s="153"/>
      <c r="J14" s="153"/>
      <c r="K14" s="8"/>
      <c r="L14" s="8"/>
    </row>
    <row r="15" spans="1:12" ht="17.25" outlineLevel="1">
      <c r="A15" s="138"/>
      <c r="B15" s="21" t="s">
        <v>3</v>
      </c>
      <c r="C15" s="230">
        <f>'Scenario ALT'!C15-'Scenario SDG'!C15</f>
        <v>0</v>
      </c>
      <c r="D15" s="230">
        <f>'Scenario ALT'!D15-'Scenario SDG'!D15</f>
        <v>0</v>
      </c>
      <c r="E15" s="230">
        <f>'Scenario ALT'!E15-'Scenario SDG'!E15</f>
        <v>0</v>
      </c>
      <c r="F15" s="230">
        <f>'Scenario ALT'!F15-'Scenario SDG'!F15</f>
        <v>0</v>
      </c>
      <c r="G15" s="152"/>
      <c r="H15" s="207"/>
      <c r="I15" s="153"/>
      <c r="J15" s="153"/>
      <c r="K15" s="8"/>
      <c r="L15" s="8"/>
    </row>
    <row r="16" spans="1:12" ht="17.25" outlineLevel="1">
      <c r="A16" s="138"/>
      <c r="B16" s="21" t="s">
        <v>4</v>
      </c>
      <c r="C16" s="230">
        <f>'Scenario ALT'!C16-'Scenario SDG'!C16</f>
        <v>0</v>
      </c>
      <c r="D16" s="230">
        <f>'Scenario ALT'!D16-'Scenario SDG'!D16</f>
        <v>0</v>
      </c>
      <c r="E16" s="230">
        <f>'Scenario ALT'!E16-'Scenario SDG'!E16</f>
        <v>0</v>
      </c>
      <c r="F16" s="230">
        <f>'Scenario ALT'!F16-'Scenario SDG'!F16</f>
        <v>0</v>
      </c>
      <c r="G16" s="152"/>
      <c r="H16" s="207"/>
      <c r="I16" s="153"/>
      <c r="J16" s="153"/>
      <c r="K16" s="8"/>
      <c r="L16" s="8"/>
    </row>
    <row r="17" spans="1:14" ht="17.25" outlineLevel="1">
      <c r="A17" s="138"/>
      <c r="B17" s="21" t="s">
        <v>5</v>
      </c>
      <c r="C17" s="230">
        <f>'Scenario ALT'!C17-'Scenario SDG'!C17</f>
        <v>0</v>
      </c>
      <c r="D17" s="230">
        <f>'Scenario ALT'!D17-'Scenario SDG'!D17</f>
        <v>0</v>
      </c>
      <c r="E17" s="230">
        <f>'Scenario ALT'!E17-'Scenario SDG'!E17</f>
        <v>0</v>
      </c>
      <c r="F17" s="230">
        <f>'Scenario ALT'!F17-'Scenario SDG'!F17</f>
        <v>0</v>
      </c>
      <c r="G17" s="152"/>
      <c r="H17" s="207"/>
      <c r="I17" s="153"/>
      <c r="J17" s="153"/>
      <c r="K17" s="8"/>
      <c r="L17" s="8"/>
    </row>
    <row r="18" spans="1:14" ht="17.25" outlineLevel="1">
      <c r="A18" s="138"/>
      <c r="B18" s="21" t="s">
        <v>6</v>
      </c>
      <c r="C18" s="230">
        <f>'Scenario ALT'!C18-'Scenario SDG'!C18</f>
        <v>0</v>
      </c>
      <c r="D18" s="201" t="s">
        <v>430</v>
      </c>
      <c r="E18" s="201" t="s">
        <v>430</v>
      </c>
      <c r="F18" s="201" t="s">
        <v>430</v>
      </c>
      <c r="G18" s="152"/>
      <c r="H18" s="207"/>
      <c r="I18" s="153"/>
      <c r="J18" s="153"/>
      <c r="K18" s="8"/>
      <c r="L18" s="8"/>
    </row>
    <row r="19" spans="1:14" ht="17.25" outlineLevel="1">
      <c r="A19" s="138"/>
      <c r="B19" s="37"/>
      <c r="C19" s="323"/>
      <c r="D19" s="323"/>
      <c r="E19" s="323"/>
      <c r="F19" s="323"/>
      <c r="G19" s="152"/>
      <c r="H19" s="207"/>
      <c r="I19" s="153"/>
      <c r="J19" s="153"/>
      <c r="K19" s="8"/>
      <c r="L19" s="8"/>
    </row>
    <row r="20" spans="1:14" ht="30" outlineLevel="1">
      <c r="A20" s="138"/>
      <c r="B20" s="25" t="s">
        <v>209</v>
      </c>
      <c r="C20" s="24" t="s">
        <v>19</v>
      </c>
      <c r="D20" s="24" t="s">
        <v>17</v>
      </c>
      <c r="E20" s="24" t="s">
        <v>18</v>
      </c>
      <c r="F20" s="24" t="s">
        <v>20</v>
      </c>
      <c r="G20" s="152"/>
      <c r="H20" s="207"/>
      <c r="I20" s="153"/>
      <c r="J20" s="153"/>
      <c r="K20" s="8"/>
      <c r="L20" s="8"/>
    </row>
    <row r="21" spans="1:14" ht="17.25" outlineLevel="1">
      <c r="A21" s="138"/>
      <c r="B21" s="21" t="s">
        <v>3</v>
      </c>
      <c r="C21" s="230">
        <f>'Scenario ALT'!C21-'Scenario SDG'!C21</f>
        <v>0</v>
      </c>
      <c r="D21" s="230">
        <f>'Scenario ALT'!D21-'Scenario SDG'!D21</f>
        <v>0</v>
      </c>
      <c r="E21" s="230">
        <f>'Scenario ALT'!E21-'Scenario SDG'!E21</f>
        <v>0</v>
      </c>
      <c r="F21" s="230">
        <f>'Scenario ALT'!F21-'Scenario SDG'!F21</f>
        <v>0</v>
      </c>
      <c r="G21" s="152"/>
      <c r="H21" s="207"/>
      <c r="I21" s="153"/>
      <c r="J21" s="153"/>
      <c r="K21" s="8"/>
      <c r="L21" s="8"/>
    </row>
    <row r="22" spans="1:14" ht="17.25" outlineLevel="1">
      <c r="A22" s="138"/>
      <c r="B22" s="21" t="s">
        <v>4</v>
      </c>
      <c r="C22" s="230">
        <f>'Scenario ALT'!C22-'Scenario SDG'!C22</f>
        <v>0</v>
      </c>
      <c r="D22" s="230">
        <f>'Scenario ALT'!D22-'Scenario SDG'!D22</f>
        <v>0</v>
      </c>
      <c r="E22" s="230">
        <f>'Scenario ALT'!E22-'Scenario SDG'!E22</f>
        <v>0</v>
      </c>
      <c r="F22" s="230">
        <f>'Scenario ALT'!F22-'Scenario SDG'!F22</f>
        <v>0</v>
      </c>
      <c r="G22" s="152"/>
      <c r="H22" s="207"/>
      <c r="I22" s="153"/>
      <c r="J22" s="153"/>
      <c r="K22" s="8"/>
      <c r="L22" s="8"/>
    </row>
    <row r="23" spans="1:14" ht="17.25" outlineLevel="1">
      <c r="A23" s="138"/>
      <c r="B23" s="21" t="s">
        <v>5</v>
      </c>
      <c r="C23" s="230">
        <f>'Scenario ALT'!C23-'Scenario SDG'!C23</f>
        <v>0</v>
      </c>
      <c r="D23" s="230">
        <f>'Scenario ALT'!D23-'Scenario SDG'!D23</f>
        <v>0</v>
      </c>
      <c r="E23" s="230">
        <f>'Scenario ALT'!E23-'Scenario SDG'!E23</f>
        <v>0</v>
      </c>
      <c r="F23" s="230">
        <f>'Scenario ALT'!F23-'Scenario SDG'!F23</f>
        <v>0</v>
      </c>
      <c r="G23" s="152"/>
      <c r="H23" s="207"/>
      <c r="I23" s="153"/>
      <c r="J23" s="153"/>
      <c r="K23" s="8"/>
      <c r="L23" s="8"/>
    </row>
    <row r="24" spans="1:14" ht="17.25" outlineLevel="1">
      <c r="A24" s="138"/>
      <c r="B24" s="21" t="s">
        <v>6</v>
      </c>
      <c r="C24" s="230">
        <f>'Scenario ALT'!C24-'Scenario SDG'!C24</f>
        <v>0</v>
      </c>
      <c r="D24" s="202" t="s">
        <v>430</v>
      </c>
      <c r="E24" s="202" t="s">
        <v>430</v>
      </c>
      <c r="F24" s="202" t="s">
        <v>430</v>
      </c>
      <c r="G24" s="152"/>
      <c r="H24" s="205"/>
      <c r="I24" s="153"/>
      <c r="J24" s="153"/>
      <c r="N24" s="12"/>
    </row>
    <row r="25" spans="1:14" ht="17.25" outlineLevel="1">
      <c r="A25" s="138"/>
      <c r="B25" s="35" t="s">
        <v>363</v>
      </c>
      <c r="C25" s="38"/>
      <c r="D25" s="35"/>
      <c r="E25" s="35"/>
      <c r="F25" s="35"/>
      <c r="G25" s="155"/>
      <c r="H25" s="155"/>
      <c r="I25" s="155"/>
      <c r="J25" s="155"/>
      <c r="N25" s="12"/>
    </row>
    <row r="26" spans="1:14" ht="17.25" outlineLevel="1">
      <c r="A26" s="138"/>
      <c r="B26" s="35"/>
      <c r="C26" s="38"/>
      <c r="D26" s="35"/>
      <c r="E26" s="35"/>
      <c r="F26" s="35"/>
      <c r="G26" s="155"/>
      <c r="H26" s="155"/>
      <c r="I26" s="155"/>
      <c r="J26" s="155"/>
      <c r="N26" s="12"/>
    </row>
    <row r="27" spans="1:14" ht="17.25" outlineLevel="1">
      <c r="A27" s="138">
        <v>3</v>
      </c>
      <c r="B27" s="36" t="s">
        <v>47</v>
      </c>
      <c r="C27" s="38"/>
      <c r="D27" s="35"/>
      <c r="E27" s="35"/>
      <c r="F27" s="35"/>
      <c r="G27" s="35"/>
      <c r="H27" s="35"/>
      <c r="I27" s="35"/>
      <c r="J27" s="35"/>
      <c r="N27" s="12"/>
    </row>
    <row r="28" spans="1:14" ht="17.25" outlineLevel="1">
      <c r="A28" s="138"/>
      <c r="B28" s="31"/>
      <c r="C28" s="193" t="s">
        <v>35</v>
      </c>
      <c r="D28" s="35"/>
      <c r="E28" s="47"/>
      <c r="F28" s="47"/>
      <c r="G28" s="47"/>
      <c r="H28" s="47"/>
      <c r="I28" s="194"/>
      <c r="J28" s="143"/>
      <c r="K28" s="162"/>
      <c r="N28" s="12"/>
    </row>
    <row r="29" spans="1:14" ht="17.25" outlineLevel="1">
      <c r="A29" s="138"/>
      <c r="B29" s="197" t="s">
        <v>12</v>
      </c>
      <c r="C29" s="198"/>
      <c r="D29" s="35"/>
      <c r="E29" s="47"/>
      <c r="F29" s="47"/>
      <c r="G29" s="47"/>
      <c r="H29" s="47"/>
      <c r="I29" s="47"/>
      <c r="J29" s="143"/>
      <c r="N29" s="12"/>
    </row>
    <row r="30" spans="1:14" ht="17.25" outlineLevel="1">
      <c r="A30" s="138"/>
      <c r="B30" s="195" t="s">
        <v>420</v>
      </c>
      <c r="C30" s="196"/>
      <c r="D30" s="35"/>
      <c r="E30" s="47"/>
      <c r="F30" s="47"/>
      <c r="G30" s="47"/>
      <c r="H30" s="47"/>
      <c r="I30" s="47"/>
      <c r="J30" s="143"/>
      <c r="N30" s="12"/>
    </row>
    <row r="31" spans="1:14" outlineLevel="1">
      <c r="A31" s="34"/>
      <c r="B31" s="21" t="s">
        <v>33</v>
      </c>
      <c r="C31" s="257">
        <f>'Scenario ALT'!C31-'Scenario SDG'!C31</f>
        <v>0</v>
      </c>
      <c r="D31" s="35"/>
      <c r="E31" s="47"/>
      <c r="F31" s="47"/>
      <c r="G31" s="47"/>
      <c r="H31" s="47"/>
      <c r="I31" s="47"/>
      <c r="J31" s="47"/>
      <c r="N31" s="12"/>
    </row>
    <row r="32" spans="1:14" outlineLevel="1">
      <c r="A32" s="34"/>
      <c r="B32" s="21" t="s">
        <v>34</v>
      </c>
      <c r="C32" s="257">
        <f>'Scenario ALT'!C32-'Scenario SDG'!C32</f>
        <v>0</v>
      </c>
      <c r="D32" s="35"/>
      <c r="E32" s="47"/>
      <c r="F32" s="47"/>
      <c r="G32" s="47"/>
      <c r="H32" s="47"/>
      <c r="I32" s="47"/>
      <c r="J32" s="47"/>
      <c r="N32" s="12"/>
    </row>
    <row r="33" spans="1:14" outlineLevel="1">
      <c r="A33" s="34"/>
      <c r="B33" s="21" t="s">
        <v>369</v>
      </c>
      <c r="C33" s="257">
        <f>'Scenario ALT'!C33-'Scenario SDG'!C33</f>
        <v>0</v>
      </c>
      <c r="D33" s="213"/>
      <c r="E33" s="47"/>
      <c r="F33" s="47"/>
      <c r="G33" s="47"/>
      <c r="H33" s="47"/>
      <c r="I33" s="47"/>
      <c r="J33" s="47"/>
      <c r="N33" s="12"/>
    </row>
    <row r="34" spans="1:14" outlineLevel="1">
      <c r="A34" s="34"/>
      <c r="B34" s="166" t="s">
        <v>211</v>
      </c>
      <c r="C34" s="257">
        <f>'Scenario ALT'!C34-'Scenario SDG'!C34</f>
        <v>0</v>
      </c>
      <c r="D34" s="167"/>
      <c r="E34" s="47"/>
      <c r="F34" s="47"/>
      <c r="G34" s="47"/>
      <c r="H34" s="47"/>
      <c r="I34" s="47"/>
      <c r="J34" s="49"/>
      <c r="N34" s="12"/>
    </row>
    <row r="35" spans="1:14" outlineLevel="1">
      <c r="A35" s="34"/>
      <c r="B35" s="166" t="s">
        <v>210</v>
      </c>
      <c r="C35" s="257">
        <f>'Scenario ALT'!C35-'Scenario SDG'!C35</f>
        <v>0</v>
      </c>
      <c r="D35" s="35"/>
      <c r="E35" s="47"/>
      <c r="F35" s="47"/>
      <c r="G35" s="47"/>
      <c r="H35" s="47"/>
      <c r="I35" s="47"/>
      <c r="J35" s="49"/>
      <c r="N35" s="12"/>
    </row>
    <row r="36" spans="1:14" outlineLevel="1">
      <c r="A36" s="34"/>
      <c r="B36" s="166" t="s">
        <v>431</v>
      </c>
      <c r="C36" s="257">
        <f>'Scenario ALT'!C36-'Scenario SDG'!C36</f>
        <v>0</v>
      </c>
      <c r="D36" s="212"/>
      <c r="E36" s="47"/>
      <c r="F36" s="47"/>
      <c r="G36" s="47"/>
      <c r="H36" s="47"/>
      <c r="I36" s="47"/>
      <c r="J36" s="49"/>
      <c r="N36" s="12"/>
    </row>
    <row r="37" spans="1:14" outlineLevel="1">
      <c r="A37" s="34"/>
      <c r="B37" s="31"/>
      <c r="C37" s="258"/>
      <c r="D37" s="47"/>
      <c r="E37" s="47"/>
      <c r="F37" s="47"/>
      <c r="G37" s="47"/>
      <c r="H37" s="47"/>
      <c r="I37" s="47"/>
      <c r="J37" s="49"/>
      <c r="N37" s="12"/>
    </row>
    <row r="38" spans="1:14" outlineLevel="1">
      <c r="A38" s="34"/>
      <c r="B38" s="200" t="s">
        <v>421</v>
      </c>
      <c r="C38" s="259"/>
      <c r="D38" s="47"/>
      <c r="E38" s="208"/>
      <c r="F38" s="47"/>
      <c r="G38" s="47"/>
      <c r="H38" s="47"/>
      <c r="I38" s="47"/>
      <c r="J38" s="49"/>
      <c r="N38" s="12"/>
    </row>
    <row r="39" spans="1:14" outlineLevel="1">
      <c r="A39" s="34"/>
      <c r="B39" s="81" t="s">
        <v>437</v>
      </c>
      <c r="C39" s="260"/>
      <c r="D39" s="47"/>
      <c r="E39" s="208"/>
      <c r="F39" s="47"/>
      <c r="G39" s="47"/>
      <c r="H39" s="47"/>
      <c r="I39" s="47"/>
      <c r="J39" s="49"/>
      <c r="N39" s="12"/>
    </row>
    <row r="40" spans="1:14" outlineLevel="1">
      <c r="A40" s="34"/>
      <c r="B40" s="221" t="s">
        <v>436</v>
      </c>
      <c r="C40" s="257">
        <f>'Scenario ALT'!C40-'Scenario SDG'!C40</f>
        <v>0</v>
      </c>
      <c r="D40" s="47"/>
      <c r="E40" s="208"/>
      <c r="F40" s="47"/>
      <c r="G40" s="47"/>
      <c r="H40" s="47"/>
      <c r="I40" s="47"/>
      <c r="J40" s="49"/>
      <c r="N40" s="12"/>
    </row>
    <row r="41" spans="1:14" outlineLevel="1">
      <c r="A41" s="34"/>
      <c r="B41" s="222" t="s">
        <v>433</v>
      </c>
      <c r="C41" s="257">
        <f>'Scenario ALT'!C41-'Scenario SDG'!C41</f>
        <v>0</v>
      </c>
      <c r="D41" s="47"/>
      <c r="E41" s="208"/>
      <c r="F41" s="47"/>
      <c r="G41" s="47"/>
      <c r="H41" s="47"/>
      <c r="I41" s="47"/>
      <c r="J41" s="47"/>
      <c r="N41" s="12"/>
    </row>
    <row r="42" spans="1:14" outlineLevel="1">
      <c r="A42" s="34"/>
      <c r="B42" s="223" t="s">
        <v>434</v>
      </c>
      <c r="C42" s="257">
        <f>'Scenario ALT'!C42-'Scenario SDG'!C42</f>
        <v>0</v>
      </c>
      <c r="D42" s="47"/>
      <c r="E42" s="208"/>
      <c r="F42" s="47"/>
      <c r="G42" s="47"/>
      <c r="H42" s="47"/>
      <c r="I42" s="47"/>
      <c r="J42" s="49"/>
      <c r="N42" s="12"/>
    </row>
    <row r="43" spans="1:14" outlineLevel="1">
      <c r="A43" s="34"/>
      <c r="B43" s="223" t="s">
        <v>435</v>
      </c>
      <c r="C43" s="257">
        <f>'Scenario ALT'!C43-'Scenario SDG'!C43</f>
        <v>0</v>
      </c>
      <c r="D43" s="47"/>
      <c r="E43" s="209"/>
      <c r="F43" s="47"/>
      <c r="G43" s="47"/>
      <c r="H43" s="47"/>
      <c r="I43" s="47"/>
      <c r="J43" s="49"/>
      <c r="N43" s="12"/>
    </row>
    <row r="44" spans="1:14" outlineLevel="1">
      <c r="A44" s="34"/>
      <c r="B44" s="199"/>
      <c r="C44" s="261"/>
      <c r="D44" s="47"/>
      <c r="E44" s="208"/>
      <c r="F44" s="47"/>
      <c r="G44" s="47"/>
      <c r="H44" s="47"/>
      <c r="I44" s="47"/>
      <c r="J44" s="49"/>
      <c r="N44" s="12"/>
    </row>
    <row r="45" spans="1:14" outlineLevel="1">
      <c r="A45" s="34"/>
      <c r="B45" s="78" t="s">
        <v>438</v>
      </c>
      <c r="C45" s="262"/>
      <c r="D45" s="47"/>
      <c r="E45" s="208"/>
      <c r="F45" s="47"/>
      <c r="G45" s="47"/>
      <c r="H45" s="47"/>
      <c r="I45" s="47"/>
      <c r="J45" s="49"/>
      <c r="N45" s="12"/>
    </row>
    <row r="46" spans="1:14" outlineLevel="1">
      <c r="A46" s="34"/>
      <c r="B46" s="221" t="s">
        <v>436</v>
      </c>
      <c r="C46" s="257">
        <f>'Scenario ALT'!C46-'Scenario SDG'!C46</f>
        <v>0</v>
      </c>
      <c r="D46" s="47"/>
      <c r="E46" s="208"/>
      <c r="F46" s="47"/>
      <c r="G46" s="47"/>
      <c r="H46" s="47"/>
      <c r="I46" s="47"/>
      <c r="J46" s="49"/>
      <c r="N46" s="12"/>
    </row>
    <row r="47" spans="1:14" ht="17.25" customHeight="1" outlineLevel="1">
      <c r="A47" s="34"/>
      <c r="B47" s="222" t="s">
        <v>433</v>
      </c>
      <c r="C47" s="257">
        <f>'Scenario ALT'!C47-'Scenario SDG'!C47</f>
        <v>0</v>
      </c>
      <c r="D47" s="47"/>
      <c r="E47" s="208"/>
      <c r="F47" s="47"/>
      <c r="G47" s="47"/>
      <c r="H47" s="47"/>
      <c r="I47" s="47"/>
      <c r="J47" s="47"/>
      <c r="N47" s="12"/>
    </row>
    <row r="48" spans="1:14" ht="16.5" customHeight="1" outlineLevel="1">
      <c r="A48" s="34"/>
      <c r="B48" s="223" t="s">
        <v>434</v>
      </c>
      <c r="C48" s="257">
        <f>'Scenario ALT'!C48-'Scenario SDG'!C48</f>
        <v>0</v>
      </c>
      <c r="D48" s="47"/>
      <c r="E48" s="208"/>
      <c r="F48" s="47"/>
      <c r="G48" s="47"/>
      <c r="H48" s="47"/>
      <c r="I48" s="47"/>
      <c r="J48" s="49"/>
      <c r="N48" s="12"/>
    </row>
    <row r="49" spans="1:21" outlineLevel="1">
      <c r="A49" s="34"/>
      <c r="B49" s="223" t="s">
        <v>435</v>
      </c>
      <c r="C49" s="257">
        <f>'Scenario ALT'!C49-'Scenario SDG'!C49</f>
        <v>0</v>
      </c>
      <c r="D49" s="47"/>
      <c r="E49" s="209"/>
      <c r="F49" s="210"/>
      <c r="G49" s="47"/>
      <c r="H49" s="47"/>
      <c r="I49" s="47"/>
      <c r="J49" s="49"/>
      <c r="N49" s="12"/>
    </row>
    <row r="50" spans="1:21" outlineLevel="1">
      <c r="A50" s="34"/>
      <c r="B50" s="35"/>
      <c r="C50" s="263"/>
      <c r="D50" s="47"/>
      <c r="E50" s="208"/>
      <c r="F50" s="47"/>
      <c r="G50" s="47"/>
      <c r="H50" s="47"/>
      <c r="I50" s="47"/>
      <c r="J50" s="49"/>
      <c r="N50" s="14"/>
    </row>
    <row r="51" spans="1:21" outlineLevel="1">
      <c r="A51" s="34"/>
      <c r="B51" s="40" t="s">
        <v>13</v>
      </c>
      <c r="C51" s="264"/>
      <c r="D51" s="47"/>
      <c r="E51" s="47"/>
      <c r="F51" s="47"/>
      <c r="G51" s="47"/>
      <c r="H51" s="47"/>
      <c r="I51" s="47"/>
      <c r="J51" s="49"/>
      <c r="N51" s="15"/>
    </row>
    <row r="52" spans="1:21" outlineLevel="1">
      <c r="A52" s="34"/>
      <c r="B52" s="39" t="s">
        <v>36</v>
      </c>
      <c r="C52" s="257">
        <f>'Scenario ALT'!C52-'Scenario SDG'!C52</f>
        <v>0</v>
      </c>
      <c r="D52" s="47"/>
      <c r="E52" s="47"/>
      <c r="F52" s="47"/>
      <c r="G52" s="47"/>
      <c r="H52" s="47"/>
      <c r="I52" s="47"/>
      <c r="J52" s="47"/>
      <c r="N52" s="16"/>
    </row>
    <row r="53" spans="1:21" outlineLevel="1">
      <c r="A53" s="34"/>
      <c r="B53" s="27" t="s">
        <v>215</v>
      </c>
      <c r="C53" s="257">
        <f>'Scenario ALT'!C53-'Scenario SDG'!C53</f>
        <v>0</v>
      </c>
      <c r="D53" s="48"/>
      <c r="E53" s="47"/>
      <c r="F53" s="47"/>
      <c r="G53" s="47"/>
      <c r="H53" s="47"/>
      <c r="I53" s="47"/>
      <c r="J53" s="47"/>
      <c r="N53" s="17"/>
    </row>
    <row r="54" spans="1:21" ht="15.75" customHeight="1" outlineLevel="1">
      <c r="A54" s="34"/>
      <c r="B54" s="166" t="s">
        <v>212</v>
      </c>
      <c r="C54" s="257">
        <f>'Scenario ALT'!C54-'Scenario SDG'!C54</f>
        <v>0</v>
      </c>
      <c r="D54" s="168"/>
      <c r="E54" s="47"/>
      <c r="F54" s="47"/>
      <c r="G54" s="47"/>
      <c r="H54" s="47"/>
      <c r="I54" s="47"/>
      <c r="J54" s="49"/>
      <c r="N54" s="17"/>
      <c r="O54" s="13"/>
      <c r="P54" s="13"/>
      <c r="Q54" s="13"/>
      <c r="R54" s="13"/>
      <c r="S54" s="13"/>
      <c r="T54" s="13"/>
      <c r="U54" s="13"/>
    </row>
    <row r="55" spans="1:21" ht="14.25" customHeight="1" outlineLevel="1">
      <c r="A55" s="34"/>
      <c r="B55" s="166" t="s">
        <v>213</v>
      </c>
      <c r="C55" s="257">
        <f>'Scenario ALT'!C55-'Scenario SDG'!C55</f>
        <v>0</v>
      </c>
      <c r="D55" s="168"/>
      <c r="E55" s="47"/>
      <c r="F55" s="47"/>
      <c r="G55" s="47"/>
      <c r="H55" s="47"/>
      <c r="I55" s="47"/>
      <c r="J55" s="49"/>
      <c r="N55" s="17"/>
      <c r="O55" s="13"/>
      <c r="P55" s="13"/>
      <c r="Q55" s="13"/>
      <c r="R55" s="13"/>
      <c r="S55" s="13"/>
      <c r="T55" s="13"/>
      <c r="U55" s="13"/>
    </row>
    <row r="56" spans="1:21" ht="18.75" customHeight="1" outlineLevel="1">
      <c r="A56" s="34"/>
      <c r="B56" s="35"/>
      <c r="C56" s="263"/>
      <c r="D56" s="49"/>
      <c r="E56" s="47"/>
      <c r="F56" s="47"/>
      <c r="G56" s="47"/>
      <c r="H56" s="47"/>
      <c r="I56" s="47"/>
      <c r="J56" s="49"/>
      <c r="N56" s="17"/>
      <c r="O56" s="13"/>
      <c r="P56" s="13"/>
      <c r="Q56" s="13"/>
      <c r="R56" s="13"/>
      <c r="S56" s="13"/>
      <c r="T56" s="13"/>
      <c r="U56" s="13"/>
    </row>
    <row r="57" spans="1:21" outlineLevel="1">
      <c r="A57" s="34"/>
      <c r="B57" s="42" t="s">
        <v>14</v>
      </c>
      <c r="C57" s="265"/>
      <c r="D57" s="49"/>
      <c r="E57" s="47"/>
      <c r="F57" s="47"/>
      <c r="G57" s="47"/>
      <c r="H57" s="47"/>
      <c r="I57" s="47"/>
      <c r="J57" s="49"/>
      <c r="N57" s="17"/>
    </row>
    <row r="58" spans="1:21" outlineLevel="1">
      <c r="A58" s="34"/>
      <c r="B58" s="41" t="s">
        <v>37</v>
      </c>
      <c r="C58" s="257">
        <f>'Scenario ALT'!C58-'Scenario SDG'!C58</f>
        <v>0</v>
      </c>
      <c r="D58" s="49"/>
      <c r="E58" s="47"/>
      <c r="F58" s="47"/>
      <c r="G58" s="118"/>
      <c r="H58" s="118"/>
      <c r="I58" s="47"/>
      <c r="J58" s="163"/>
      <c r="K58" s="43"/>
      <c r="N58" s="17"/>
    </row>
    <row r="59" spans="1:21" ht="18" customHeight="1" outlineLevel="1">
      <c r="A59" s="34"/>
      <c r="B59" s="28" t="s">
        <v>38</v>
      </c>
      <c r="C59" s="257">
        <f>'Scenario ALT'!C59-'Scenario SDG'!C59</f>
        <v>0</v>
      </c>
      <c r="D59" s="49"/>
      <c r="E59" s="47"/>
      <c r="F59" s="47"/>
      <c r="G59" s="47"/>
      <c r="H59" s="47"/>
      <c r="I59" s="47"/>
      <c r="J59" s="47"/>
      <c r="N59" s="17"/>
    </row>
    <row r="60" spans="1:21" outlineLevel="1">
      <c r="A60" s="34"/>
      <c r="B60" s="166" t="s">
        <v>214</v>
      </c>
      <c r="C60" s="257">
        <f>'Scenario ALT'!C60-'Scenario SDG'!C60</f>
        <v>0</v>
      </c>
      <c r="D60" s="167"/>
      <c r="E60" s="47"/>
      <c r="F60" s="47"/>
      <c r="G60" s="47"/>
      <c r="H60" s="47"/>
      <c r="I60" s="119"/>
      <c r="J60" s="164"/>
      <c r="K60" s="19"/>
      <c r="L60" s="19"/>
      <c r="M60" s="19"/>
      <c r="N60" s="19"/>
      <c r="O60" s="13"/>
      <c r="P60" s="13"/>
      <c r="Q60" s="13"/>
      <c r="R60" s="13"/>
      <c r="S60" s="13"/>
      <c r="T60" s="13"/>
      <c r="U60" s="13"/>
    </row>
    <row r="61" spans="1:21" ht="15.75" customHeight="1" outlineLevel="1">
      <c r="A61" s="34"/>
      <c r="B61" s="326" t="s">
        <v>461</v>
      </c>
      <c r="C61" s="326"/>
      <c r="D61" s="326"/>
      <c r="E61" s="326"/>
      <c r="F61" s="326"/>
      <c r="G61" s="326"/>
      <c r="H61" s="326"/>
      <c r="I61" s="326"/>
      <c r="J61" s="326"/>
      <c r="K61" s="19"/>
      <c r="L61" s="19"/>
      <c r="M61" s="19"/>
      <c r="N61" s="19"/>
      <c r="O61" s="13"/>
      <c r="P61" s="13"/>
      <c r="Q61" s="13"/>
      <c r="R61" s="13"/>
      <c r="S61" s="13"/>
      <c r="T61" s="13"/>
      <c r="U61" s="13"/>
    </row>
    <row r="62" spans="1:21" outlineLevel="1">
      <c r="A62" s="34"/>
      <c r="B62" s="326"/>
      <c r="C62" s="326"/>
      <c r="D62" s="326"/>
      <c r="E62" s="326"/>
      <c r="F62" s="326"/>
      <c r="G62" s="326"/>
      <c r="H62" s="326"/>
      <c r="I62" s="326"/>
      <c r="J62" s="35"/>
      <c r="K62" s="19"/>
      <c r="L62" s="19"/>
      <c r="M62" s="19"/>
      <c r="N62" s="19"/>
      <c r="O62" s="13"/>
      <c r="P62" s="13"/>
      <c r="Q62" s="13"/>
      <c r="R62" s="13"/>
      <c r="S62" s="13"/>
      <c r="T62" s="13"/>
      <c r="U62" s="13"/>
    </row>
    <row r="63" spans="1:21">
      <c r="B63" s="7"/>
      <c r="C63" s="13"/>
      <c r="I63" s="18"/>
      <c r="J63" s="19"/>
      <c r="K63" s="19"/>
      <c r="L63" s="19"/>
      <c r="M63" s="19"/>
      <c r="N63" s="19"/>
      <c r="O63" s="13"/>
      <c r="P63" s="13"/>
      <c r="Q63" s="13"/>
      <c r="R63" s="13"/>
      <c r="S63" s="13"/>
      <c r="T63" s="13"/>
      <c r="U63" s="13"/>
    </row>
    <row r="64" spans="1:21" ht="21" customHeight="1" thickBot="1">
      <c r="A64" s="325" t="s">
        <v>440</v>
      </c>
      <c r="B64" s="325"/>
      <c r="C64" s="325"/>
      <c r="D64" s="325"/>
      <c r="E64" s="325"/>
      <c r="F64" s="325"/>
      <c r="G64" s="325"/>
      <c r="H64" s="121"/>
      <c r="I64" s="122"/>
      <c r="J64" s="123"/>
      <c r="K64" s="19"/>
      <c r="L64" s="19"/>
      <c r="M64" s="19"/>
      <c r="N64" s="19"/>
      <c r="O64" s="13"/>
      <c r="P64" s="13"/>
      <c r="Q64" s="13"/>
      <c r="R64" s="13"/>
      <c r="S64" s="13"/>
      <c r="T64" s="13"/>
      <c r="U64" s="13"/>
    </row>
    <row r="65" spans="1:25" s="8" customFormat="1" outlineLevel="1">
      <c r="A65" s="64"/>
      <c r="B65" s="65"/>
      <c r="C65" s="65"/>
      <c r="D65" s="66"/>
      <c r="E65" s="67"/>
      <c r="F65" s="67"/>
      <c r="G65" s="68"/>
      <c r="H65" s="65"/>
      <c r="I65" s="110"/>
      <c r="J65" s="111"/>
    </row>
    <row r="66" spans="1:25" s="8" customFormat="1" outlineLevel="1">
      <c r="A66" s="64"/>
      <c r="B66" s="188" t="s">
        <v>65</v>
      </c>
      <c r="C66" s="183" t="s">
        <v>43</v>
      </c>
      <c r="D66" s="68"/>
      <c r="E66" s="67"/>
      <c r="F66" s="67"/>
      <c r="G66" s="68"/>
      <c r="H66" s="65"/>
      <c r="I66" s="65"/>
      <c r="J66" s="65"/>
      <c r="K66" s="51"/>
      <c r="L66" s="51"/>
      <c r="M66" s="51"/>
      <c r="N66" s="51"/>
      <c r="O66" s="51"/>
      <c r="P66" s="51"/>
      <c r="Q66" s="51"/>
      <c r="R66" s="51"/>
      <c r="S66" s="51"/>
      <c r="T66" s="51"/>
      <c r="U66" s="51"/>
    </row>
    <row r="67" spans="1:25" s="8" customFormat="1" outlineLevel="1">
      <c r="A67" s="64"/>
      <c r="B67" s="77" t="s">
        <v>12</v>
      </c>
      <c r="C67" s="184"/>
      <c r="D67" s="68"/>
      <c r="E67" s="68"/>
      <c r="F67" s="67"/>
      <c r="G67" s="68"/>
      <c r="H67" s="65"/>
      <c r="I67" s="65"/>
      <c r="J67" s="112"/>
    </row>
    <row r="68" spans="1:25" s="8" customFormat="1" outlineLevel="1">
      <c r="A68" s="64"/>
      <c r="B68" s="203" t="s">
        <v>29</v>
      </c>
      <c r="C68" s="230">
        <f>'Scenario ALT'!C68-'Scenario SDG'!C68</f>
        <v>0</v>
      </c>
      <c r="D68" s="181"/>
      <c r="E68" s="67"/>
      <c r="F68" s="65"/>
      <c r="G68" s="68"/>
      <c r="H68" s="65"/>
      <c r="I68" s="65"/>
      <c r="J68" s="65"/>
    </row>
    <row r="69" spans="1:25" s="8" customFormat="1" outlineLevel="1">
      <c r="A69" s="64"/>
      <c r="B69" s="203" t="s">
        <v>26</v>
      </c>
      <c r="C69" s="230">
        <f>'Scenario ALT'!C69-'Scenario SDG'!C69</f>
        <v>0</v>
      </c>
      <c r="D69" s="181"/>
      <c r="E69" s="67"/>
      <c r="F69" s="67"/>
      <c r="G69" s="68"/>
      <c r="H69" s="65"/>
      <c r="I69" s="65"/>
      <c r="J69" s="65"/>
      <c r="K69" s="45"/>
      <c r="L69" s="45"/>
      <c r="M69" s="45"/>
      <c r="N69" s="45"/>
      <c r="O69" s="45"/>
    </row>
    <row r="70" spans="1:25" s="8" customFormat="1" ht="18" customHeight="1" outlineLevel="1">
      <c r="A70" s="64"/>
      <c r="B70" s="203" t="s">
        <v>27</v>
      </c>
      <c r="C70" s="230">
        <f>'Scenario ALT'!C70-'Scenario SDG'!C70</f>
        <v>0</v>
      </c>
      <c r="D70" s="181"/>
      <c r="E70" s="65"/>
      <c r="F70" s="67"/>
      <c r="G70" s="68"/>
      <c r="H70" s="65"/>
      <c r="I70" s="110"/>
      <c r="J70" s="113"/>
      <c r="K70" s="125"/>
      <c r="L70" s="125"/>
      <c r="O70" s="125"/>
      <c r="P70" s="53"/>
      <c r="Q70" s="53"/>
      <c r="R70" s="53"/>
      <c r="S70" s="53"/>
      <c r="T70" s="53"/>
      <c r="U70" s="53"/>
      <c r="V70" s="53"/>
      <c r="W70" s="53"/>
      <c r="X70" s="53"/>
      <c r="Y70" s="53"/>
    </row>
    <row r="71" spans="1:25" s="8" customFormat="1" ht="15" customHeight="1" outlineLevel="1">
      <c r="A71" s="64"/>
      <c r="B71" s="203" t="s">
        <v>28</v>
      </c>
      <c r="C71" s="230">
        <f>'Scenario ALT'!C71-'Scenario SDG'!C71</f>
        <v>0</v>
      </c>
      <c r="D71" s="181"/>
      <c r="E71" s="67"/>
      <c r="F71" s="67"/>
      <c r="G71" s="68"/>
      <c r="H71" s="65"/>
      <c r="I71" s="65"/>
      <c r="J71" s="114"/>
      <c r="K71" s="45"/>
      <c r="L71" s="126"/>
      <c r="M71" s="52"/>
      <c r="N71" s="126"/>
      <c r="O71" s="126"/>
      <c r="P71" s="54"/>
      <c r="Q71" s="54"/>
      <c r="R71" s="54"/>
      <c r="S71" s="54"/>
      <c r="T71" s="54"/>
      <c r="U71" s="54"/>
      <c r="V71" s="54"/>
      <c r="W71" s="54"/>
      <c r="X71" s="54"/>
      <c r="Y71" s="54"/>
    </row>
    <row r="72" spans="1:25" s="8" customFormat="1" outlineLevel="1">
      <c r="A72" s="64"/>
      <c r="B72" s="182" t="s">
        <v>42</v>
      </c>
      <c r="C72" s="230">
        <f>'Scenario ALT'!C72-'Scenario SDG'!C72</f>
        <v>0</v>
      </c>
      <c r="D72" s="181"/>
      <c r="E72" s="67"/>
      <c r="F72" s="65"/>
      <c r="G72" s="65"/>
      <c r="H72" s="65"/>
      <c r="I72" s="65"/>
      <c r="J72" s="115"/>
      <c r="K72" s="127"/>
      <c r="L72" s="45"/>
      <c r="O72" s="128"/>
      <c r="P72" s="55"/>
      <c r="Q72" s="55"/>
      <c r="R72" s="56"/>
    </row>
    <row r="73" spans="1:25" s="8" customFormat="1" outlineLevel="1">
      <c r="A73" s="64"/>
      <c r="B73" s="182" t="s">
        <v>39</v>
      </c>
      <c r="C73" s="230">
        <f>'Scenario ALT'!C73-'Scenario SDG'!C73</f>
        <v>0</v>
      </c>
      <c r="D73" s="181"/>
      <c r="E73" s="67"/>
      <c r="F73" s="65"/>
      <c r="G73" s="65"/>
      <c r="H73" s="71"/>
      <c r="I73" s="65"/>
      <c r="J73" s="115"/>
      <c r="K73" s="126"/>
      <c r="L73" s="128"/>
      <c r="M73" s="126"/>
      <c r="N73" s="45"/>
      <c r="O73" s="126"/>
      <c r="Q73" s="54"/>
      <c r="R73" s="55"/>
      <c r="S73" s="54"/>
      <c r="T73" s="54"/>
      <c r="U73" s="54"/>
      <c r="W73" s="54"/>
      <c r="Y73" s="54"/>
    </row>
    <row r="74" spans="1:25" s="8" customFormat="1" outlineLevel="1">
      <c r="A74" s="64"/>
      <c r="B74" s="182" t="s">
        <v>40</v>
      </c>
      <c r="C74" s="230">
        <f>'Scenario ALT'!C74-'Scenario SDG'!C74</f>
        <v>0</v>
      </c>
      <c r="D74" s="181"/>
      <c r="E74" s="67"/>
      <c r="F74" s="65"/>
      <c r="G74" s="65"/>
      <c r="H74" s="71"/>
      <c r="I74" s="65"/>
      <c r="J74" s="115"/>
      <c r="K74" s="128"/>
      <c r="L74" s="128"/>
      <c r="M74" s="128"/>
      <c r="N74" s="45"/>
      <c r="O74" s="128"/>
      <c r="P74" s="55"/>
      <c r="Q74" s="55"/>
      <c r="R74" s="55"/>
      <c r="S74" s="55"/>
      <c r="T74" s="55"/>
    </row>
    <row r="75" spans="1:25" s="8" customFormat="1" outlineLevel="1">
      <c r="A75" s="64"/>
      <c r="B75" s="182" t="s">
        <v>41</v>
      </c>
      <c r="C75" s="230">
        <f>'Scenario ALT'!C75-'Scenario SDG'!C75</f>
        <v>0</v>
      </c>
      <c r="D75" s="181"/>
      <c r="E75" s="67"/>
      <c r="F75" s="65"/>
      <c r="G75" s="65"/>
      <c r="H75" s="71"/>
      <c r="I75" s="65"/>
      <c r="J75" s="114"/>
      <c r="K75" s="126"/>
      <c r="L75" s="126"/>
      <c r="M75" s="126"/>
      <c r="N75" s="126"/>
      <c r="O75" s="126"/>
      <c r="P75" s="54"/>
      <c r="Q75" s="54"/>
      <c r="R75" s="54"/>
      <c r="S75" s="54"/>
      <c r="T75" s="54"/>
      <c r="U75" s="54"/>
      <c r="V75" s="54"/>
      <c r="W75" s="54"/>
      <c r="X75" s="54"/>
    </row>
    <row r="76" spans="1:25" s="8" customFormat="1" outlineLevel="1">
      <c r="A76" s="64"/>
      <c r="B76" s="65"/>
      <c r="C76" s="70"/>
      <c r="D76" s="68"/>
      <c r="E76" s="67"/>
      <c r="F76" s="67"/>
      <c r="G76" s="67"/>
      <c r="H76" s="71"/>
      <c r="I76" s="65"/>
      <c r="J76" s="116"/>
      <c r="K76" s="57"/>
      <c r="L76" s="57"/>
      <c r="M76" s="57"/>
      <c r="N76" s="57"/>
      <c r="O76" s="11"/>
      <c r="P76" s="11"/>
      <c r="Q76" s="11"/>
      <c r="R76" s="11"/>
      <c r="S76" s="11"/>
      <c r="T76" s="11"/>
    </row>
    <row r="77" spans="1:25" s="8" customFormat="1" outlineLevel="1">
      <c r="A77" s="69"/>
      <c r="B77" s="40" t="s">
        <v>0</v>
      </c>
      <c r="C77" s="186"/>
      <c r="D77" s="65"/>
      <c r="E77" s="71"/>
      <c r="F77" s="71"/>
      <c r="G77" s="71"/>
      <c r="H77" s="71"/>
      <c r="I77" s="65"/>
      <c r="J77" s="117"/>
      <c r="K77" s="57"/>
      <c r="L77" s="57"/>
      <c r="M77" s="57"/>
      <c r="N77" s="57"/>
      <c r="O77" s="11"/>
      <c r="P77" s="11"/>
      <c r="Q77" s="11"/>
      <c r="R77" s="11"/>
      <c r="S77" s="11"/>
      <c r="T77" s="11"/>
    </row>
    <row r="78" spans="1:25" s="8" customFormat="1" outlineLevel="1">
      <c r="A78" s="69"/>
      <c r="B78" s="39" t="s">
        <v>365</v>
      </c>
      <c r="C78" s="230">
        <f>'Scenario ALT'!C78-'Scenario SDG'!C78</f>
        <v>0</v>
      </c>
      <c r="D78" s="65"/>
      <c r="E78" s="71"/>
      <c r="F78" s="71"/>
      <c r="G78" s="71"/>
      <c r="H78" s="71"/>
      <c r="I78" s="65"/>
      <c r="J78" s="117"/>
      <c r="K78" s="58"/>
      <c r="L78" s="57"/>
      <c r="M78" s="57"/>
      <c r="N78" s="57"/>
      <c r="O78" s="11"/>
      <c r="P78" s="11"/>
      <c r="Q78" s="11"/>
      <c r="R78" s="11"/>
      <c r="S78" s="11"/>
      <c r="T78" s="11"/>
    </row>
    <row r="79" spans="1:25" s="8" customFormat="1" outlineLevel="1">
      <c r="A79" s="69"/>
      <c r="B79" s="27" t="s">
        <v>444</v>
      </c>
      <c r="C79" s="230">
        <f>'Scenario ALT'!C79-'Scenario SDG'!C79</f>
        <v>0</v>
      </c>
      <c r="D79" s="65"/>
      <c r="E79" s="71"/>
      <c r="F79" s="71"/>
      <c r="G79" s="71"/>
      <c r="H79" s="71"/>
      <c r="I79" s="65"/>
      <c r="J79" s="117"/>
      <c r="K79" s="57"/>
      <c r="L79" s="57"/>
      <c r="M79" s="57"/>
      <c r="N79" s="57"/>
      <c r="O79" s="11"/>
      <c r="P79" s="11"/>
      <c r="Q79" s="11"/>
      <c r="R79" s="11"/>
      <c r="S79" s="11"/>
      <c r="T79" s="11"/>
    </row>
    <row r="80" spans="1:25" s="8" customFormat="1" outlineLevel="1">
      <c r="A80" s="69"/>
      <c r="B80" s="65"/>
      <c r="C80" s="70"/>
      <c r="D80" s="65"/>
      <c r="E80" s="71"/>
      <c r="F80" s="71"/>
      <c r="G80" s="71"/>
      <c r="H80" s="71"/>
      <c r="I80" s="65"/>
      <c r="J80" s="117"/>
      <c r="K80" s="57"/>
      <c r="L80" s="57"/>
      <c r="M80" s="57"/>
      <c r="N80" s="57"/>
      <c r="O80" s="11"/>
      <c r="P80" s="11"/>
      <c r="Q80" s="11"/>
      <c r="R80" s="11"/>
      <c r="S80" s="11"/>
      <c r="T80" s="11"/>
    </row>
    <row r="81" spans="1:20" s="8" customFormat="1" ht="18" customHeight="1" outlineLevel="1">
      <c r="A81" s="69"/>
      <c r="B81" s="42" t="s">
        <v>30</v>
      </c>
      <c r="C81" s="185"/>
      <c r="D81" s="65"/>
      <c r="E81" s="71"/>
      <c r="F81" s="71"/>
      <c r="G81" s="71"/>
      <c r="H81" s="71"/>
      <c r="I81" s="65"/>
      <c r="J81" s="116"/>
      <c r="K81" s="59"/>
      <c r="L81" s="59"/>
      <c r="M81" s="59"/>
      <c r="N81" s="59"/>
      <c r="O81" s="11"/>
      <c r="P81" s="11"/>
      <c r="Q81" s="11"/>
      <c r="R81" s="11"/>
      <c r="S81" s="11"/>
      <c r="T81" s="11"/>
    </row>
    <row r="82" spans="1:20" s="8" customFormat="1" ht="18" customHeight="1" outlineLevel="1">
      <c r="A82" s="69"/>
      <c r="B82" s="39" t="s">
        <v>443</v>
      </c>
      <c r="C82" s="230">
        <f>'Scenario ALT'!C82-'Scenario SDG'!C82</f>
        <v>0</v>
      </c>
      <c r="D82" s="65"/>
      <c r="E82" s="71"/>
      <c r="F82" s="71"/>
      <c r="G82" s="71"/>
      <c r="H82" s="71"/>
      <c r="I82" s="65"/>
      <c r="J82" s="117"/>
      <c r="K82" s="60"/>
      <c r="L82" s="57"/>
      <c r="M82" s="60"/>
      <c r="N82" s="57"/>
      <c r="O82" s="11"/>
      <c r="P82" s="11"/>
      <c r="Q82" s="11"/>
      <c r="R82" s="11"/>
      <c r="S82" s="11"/>
      <c r="T82" s="11"/>
    </row>
    <row r="83" spans="1:20" s="8" customFormat="1" outlineLevel="1">
      <c r="A83" s="69"/>
      <c r="B83" s="65"/>
      <c r="C83" s="65"/>
      <c r="D83" s="65"/>
      <c r="E83" s="71"/>
      <c r="F83" s="71"/>
      <c r="G83" s="71"/>
      <c r="H83" s="71"/>
      <c r="I83" s="65"/>
      <c r="J83" s="117"/>
      <c r="K83" s="61"/>
      <c r="L83" s="62"/>
      <c r="M83" s="61"/>
      <c r="N83" s="62"/>
      <c r="O83" s="11"/>
      <c r="P83" s="11"/>
      <c r="Q83" s="11"/>
      <c r="R83" s="11"/>
      <c r="S83" s="11"/>
      <c r="T83" s="11"/>
    </row>
    <row r="84" spans="1:20" s="8" customFormat="1" outlineLevel="1">
      <c r="A84" s="69"/>
      <c r="B84" s="187" t="s">
        <v>66</v>
      </c>
      <c r="C84" s="65"/>
      <c r="D84" s="65"/>
      <c r="E84" s="71"/>
      <c r="F84" s="71"/>
      <c r="G84" s="71"/>
      <c r="H84" s="71"/>
      <c r="I84" s="65"/>
      <c r="J84" s="117"/>
      <c r="K84" s="61"/>
      <c r="L84" s="60"/>
      <c r="M84" s="61"/>
      <c r="N84" s="60"/>
      <c r="O84" s="11"/>
      <c r="P84" s="11"/>
      <c r="Q84" s="11"/>
      <c r="R84" s="11"/>
      <c r="S84" s="11"/>
      <c r="T84" s="11"/>
    </row>
    <row r="85" spans="1:20" s="8" customFormat="1" outlineLevel="1">
      <c r="A85" s="69"/>
      <c r="B85" s="42" t="s">
        <v>30</v>
      </c>
      <c r="C85" s="185"/>
      <c r="D85" s="65"/>
      <c r="E85" s="71"/>
      <c r="F85" s="71"/>
      <c r="G85" s="71"/>
      <c r="H85" s="71"/>
      <c r="I85" s="65"/>
      <c r="J85" s="117"/>
      <c r="K85" s="61"/>
      <c r="L85" s="60"/>
      <c r="M85" s="61"/>
      <c r="N85" s="60"/>
      <c r="O85" s="11"/>
      <c r="P85" s="11"/>
      <c r="Q85" s="11"/>
      <c r="R85" s="11"/>
      <c r="S85" s="11"/>
      <c r="T85" s="11"/>
    </row>
    <row r="86" spans="1:20" s="8" customFormat="1" ht="18.75" customHeight="1" outlineLevel="1">
      <c r="A86" s="69"/>
      <c r="B86" s="39" t="s">
        <v>443</v>
      </c>
      <c r="C86" s="230">
        <f>'Scenario ALT'!C86-'Scenario SDG'!C86</f>
        <v>0</v>
      </c>
      <c r="D86" s="65"/>
      <c r="E86" s="71"/>
      <c r="F86" s="71"/>
      <c r="G86" s="71"/>
      <c r="H86" s="71"/>
      <c r="I86" s="65"/>
      <c r="J86" s="117"/>
      <c r="K86" s="61"/>
      <c r="L86" s="60"/>
      <c r="M86" s="61"/>
      <c r="N86" s="60"/>
      <c r="O86" s="11"/>
      <c r="P86" s="11"/>
      <c r="Q86" s="11"/>
      <c r="R86" s="11"/>
      <c r="S86" s="11"/>
      <c r="T86" s="11"/>
    </row>
    <row r="87" spans="1:20" s="8" customFormat="1" outlineLevel="1">
      <c r="A87" s="69"/>
      <c r="B87" s="65"/>
      <c r="C87" s="65"/>
      <c r="D87" s="65"/>
      <c r="E87" s="71"/>
      <c r="F87" s="71"/>
      <c r="G87" s="71"/>
      <c r="H87" s="71"/>
      <c r="I87" s="65"/>
      <c r="J87" s="117"/>
      <c r="K87" s="61"/>
      <c r="L87" s="61"/>
      <c r="M87" s="61"/>
      <c r="N87" s="61"/>
      <c r="O87" s="11"/>
      <c r="P87" s="11"/>
      <c r="Q87" s="11"/>
      <c r="R87" s="11"/>
      <c r="S87" s="11"/>
      <c r="T87" s="11"/>
    </row>
    <row r="88" spans="1:20" s="8" customFormat="1">
      <c r="A88" s="26"/>
      <c r="E88" s="51"/>
      <c r="F88" s="51"/>
      <c r="G88" s="51"/>
      <c r="H88" s="51"/>
      <c r="J88" s="57"/>
      <c r="M88" s="60"/>
      <c r="N88" s="60"/>
      <c r="O88" s="11"/>
      <c r="P88" s="11"/>
      <c r="Q88" s="11"/>
      <c r="R88" s="11"/>
      <c r="S88" s="11"/>
      <c r="T88" s="11"/>
    </row>
    <row r="89" spans="1:20" s="8" customFormat="1" ht="19.5" thickBot="1">
      <c r="A89" s="124" t="s">
        <v>442</v>
      </c>
      <c r="B89" s="106"/>
      <c r="C89" s="106"/>
      <c r="D89" s="106"/>
      <c r="E89" s="107"/>
      <c r="F89" s="107"/>
      <c r="G89" s="107"/>
      <c r="H89" s="107"/>
      <c r="I89" s="108"/>
      <c r="J89" s="109"/>
      <c r="M89" s="63"/>
      <c r="N89" s="63"/>
      <c r="O89" s="11"/>
      <c r="P89" s="11"/>
      <c r="Q89" s="11"/>
      <c r="R89" s="11"/>
      <c r="S89" s="11"/>
      <c r="T89" s="11"/>
    </row>
    <row r="90" spans="1:20" s="45" customFormat="1" outlineLevel="1">
      <c r="A90" s="88"/>
      <c r="B90" s="89"/>
      <c r="C90" s="89"/>
      <c r="D90" s="89"/>
      <c r="E90" s="90"/>
      <c r="F90" s="90"/>
      <c r="G90" s="90"/>
      <c r="H90" s="90"/>
      <c r="I90" s="89"/>
      <c r="J90" s="103"/>
      <c r="M90" s="73"/>
      <c r="N90" s="73"/>
      <c r="O90" s="74"/>
      <c r="P90" s="74"/>
      <c r="Q90" s="74"/>
      <c r="R90" s="74"/>
      <c r="S90" s="74"/>
      <c r="T90" s="74"/>
    </row>
    <row r="91" spans="1:20" s="6" customFormat="1" ht="17.25" outlineLevel="1">
      <c r="A91" s="139">
        <v>1</v>
      </c>
      <c r="B91" s="141" t="s">
        <v>48</v>
      </c>
      <c r="C91" s="91"/>
      <c r="D91" s="91"/>
      <c r="E91" s="91"/>
      <c r="F91" s="91"/>
      <c r="G91" s="91"/>
      <c r="H91" s="91"/>
      <c r="I91" s="91"/>
      <c r="J91" s="91"/>
      <c r="M91" s="75"/>
      <c r="N91" s="75"/>
    </row>
    <row r="92" spans="1:20" s="6" customFormat="1" ht="17.25" outlineLevel="1">
      <c r="A92" s="139"/>
      <c r="B92" s="91"/>
      <c r="C92" s="91"/>
      <c r="D92" s="91"/>
      <c r="E92" s="91"/>
      <c r="F92" s="91"/>
      <c r="G92" s="91"/>
      <c r="H92" s="91"/>
      <c r="I92" s="91"/>
      <c r="J92" s="91"/>
      <c r="M92" s="75"/>
      <c r="N92" s="76"/>
    </row>
    <row r="93" spans="1:20" s="6" customFormat="1" ht="17.25" outlineLevel="1">
      <c r="A93" s="139"/>
      <c r="B93" s="78" t="s">
        <v>7</v>
      </c>
      <c r="C93" s="79" t="s">
        <v>2</v>
      </c>
      <c r="D93" s="80"/>
      <c r="E93" s="136" t="s">
        <v>46</v>
      </c>
      <c r="F93" s="91"/>
      <c r="G93" s="93"/>
      <c r="H93" s="91"/>
      <c r="I93" s="91"/>
      <c r="J93" s="104"/>
      <c r="M93" s="76"/>
      <c r="N93" s="76"/>
    </row>
    <row r="94" spans="1:20" s="6" customFormat="1" ht="17.25" outlineLevel="1">
      <c r="A94" s="139"/>
      <c r="B94" s="81" t="s">
        <v>12</v>
      </c>
      <c r="C94" s="82" t="s">
        <v>3</v>
      </c>
      <c r="D94" s="80"/>
      <c r="E94" s="256">
        <f>'Scenario ALT'!E94-'Scenario SDG'!E94</f>
        <v>0</v>
      </c>
      <c r="F94" s="91"/>
      <c r="G94" s="91"/>
      <c r="H94" s="91"/>
      <c r="I94" s="91"/>
      <c r="J94" s="105"/>
      <c r="M94" s="50"/>
      <c r="N94" s="50"/>
    </row>
    <row r="95" spans="1:20" s="6" customFormat="1" ht="17.25" outlineLevel="1">
      <c r="A95" s="139"/>
      <c r="B95" s="81" t="s">
        <v>13</v>
      </c>
      <c r="C95" s="82" t="s">
        <v>3</v>
      </c>
      <c r="D95" s="80"/>
      <c r="E95" s="256">
        <f>'Scenario ALT'!E95-'Scenario SDG'!E95</f>
        <v>0</v>
      </c>
      <c r="F95" s="91"/>
      <c r="G95" s="91"/>
      <c r="H95" s="91"/>
      <c r="I95" s="91"/>
      <c r="J95" s="91"/>
    </row>
    <row r="96" spans="1:20" s="6" customFormat="1" ht="17.25" customHeight="1" outlineLevel="1">
      <c r="A96" s="139"/>
      <c r="B96" s="81" t="s">
        <v>14</v>
      </c>
      <c r="C96" s="82" t="s">
        <v>3</v>
      </c>
      <c r="D96" s="80"/>
      <c r="E96" s="256">
        <f>'Scenario ALT'!E96-'Scenario SDG'!E96</f>
        <v>0</v>
      </c>
      <c r="F96" s="91"/>
      <c r="G96" s="91"/>
      <c r="H96" s="91"/>
      <c r="I96" s="91"/>
      <c r="J96" s="91"/>
    </row>
    <row r="97" spans="1:10" s="6" customFormat="1" ht="17.25" customHeight="1" outlineLevel="1">
      <c r="A97" s="139"/>
      <c r="B97" s="81" t="s">
        <v>15</v>
      </c>
      <c r="C97" s="82" t="s">
        <v>3</v>
      </c>
      <c r="D97" s="80"/>
      <c r="E97" s="256">
        <f>'Scenario ALT'!E97-'Scenario SDG'!E97</f>
        <v>0</v>
      </c>
      <c r="F97" s="91"/>
      <c r="G97" s="91"/>
      <c r="H97" s="91"/>
      <c r="I97" s="91"/>
      <c r="J97" s="91"/>
    </row>
    <row r="98" spans="1:10" s="6" customFormat="1" ht="17.25" outlineLevel="1">
      <c r="A98" s="139"/>
      <c r="B98" s="81" t="s">
        <v>14</v>
      </c>
      <c r="C98" s="83" t="s">
        <v>49</v>
      </c>
      <c r="D98" s="84"/>
      <c r="E98" s="256">
        <f>'Scenario ALT'!E98-'Scenario SDG'!E98</f>
        <v>0</v>
      </c>
      <c r="F98" s="91"/>
      <c r="G98" s="91"/>
      <c r="H98" s="91"/>
      <c r="I98" s="91"/>
      <c r="J98" s="91"/>
    </row>
    <row r="99" spans="1:10" s="6" customFormat="1" ht="17.25" outlineLevel="1">
      <c r="A99" s="139"/>
      <c r="B99" s="85" t="s">
        <v>15</v>
      </c>
      <c r="C99" s="82" t="s">
        <v>5</v>
      </c>
      <c r="D99" s="80"/>
      <c r="E99" s="256">
        <f>'Scenario ALT'!E99-'Scenario SDG'!E99</f>
        <v>0</v>
      </c>
      <c r="F99" s="91"/>
      <c r="G99" s="91"/>
      <c r="H99" s="91"/>
      <c r="I99" s="91"/>
      <c r="J99" s="91"/>
    </row>
    <row r="100" spans="1:10" s="6" customFormat="1" ht="17.25" outlineLevel="1">
      <c r="A100" s="139"/>
      <c r="B100" s="85" t="s">
        <v>15</v>
      </c>
      <c r="C100" s="86" t="s">
        <v>16</v>
      </c>
      <c r="D100" s="87"/>
      <c r="E100" s="256">
        <f>'Scenario ALT'!E100-'Scenario SDG'!E100</f>
        <v>0</v>
      </c>
      <c r="F100" s="91"/>
      <c r="G100" s="91"/>
      <c r="H100" s="91"/>
      <c r="I100" s="91"/>
      <c r="J100" s="91"/>
    </row>
    <row r="101" spans="1:10" s="6" customFormat="1" ht="17.25" outlineLevel="1">
      <c r="A101" s="139"/>
      <c r="B101" s="91"/>
      <c r="C101" s="91"/>
      <c r="D101" s="91"/>
      <c r="E101" s="91"/>
      <c r="F101" s="91"/>
      <c r="G101" s="91"/>
      <c r="H101" s="91"/>
      <c r="I101" s="91"/>
      <c r="J101" s="91"/>
    </row>
    <row r="102" spans="1:10" s="6" customFormat="1" ht="17.25" outlineLevel="1">
      <c r="A102" s="139">
        <v>2</v>
      </c>
      <c r="B102" s="141" t="s">
        <v>44</v>
      </c>
      <c r="C102" s="91"/>
      <c r="D102" s="91"/>
      <c r="E102" s="91"/>
      <c r="F102" s="91"/>
      <c r="G102" s="91"/>
      <c r="H102" s="91"/>
      <c r="I102" s="91"/>
      <c r="J102" s="91"/>
    </row>
    <row r="103" spans="1:10" s="6" customFormat="1" ht="17.25" outlineLevel="1">
      <c r="A103" s="139"/>
      <c r="B103" s="91"/>
      <c r="C103" s="91"/>
      <c r="D103" s="91"/>
      <c r="E103" s="91"/>
      <c r="F103" s="91"/>
      <c r="G103" s="91"/>
      <c r="H103" s="91"/>
      <c r="I103" s="91"/>
      <c r="J103" s="91"/>
    </row>
    <row r="104" spans="1:10" ht="30" outlineLevel="1">
      <c r="A104" s="140"/>
      <c r="B104" s="78" t="s">
        <v>7</v>
      </c>
      <c r="C104" s="79" t="s">
        <v>2</v>
      </c>
      <c r="D104" s="80"/>
      <c r="E104" s="95" t="s">
        <v>8</v>
      </c>
      <c r="F104" s="95" t="s">
        <v>9</v>
      </c>
      <c r="G104" s="95" t="s">
        <v>10</v>
      </c>
      <c r="H104" s="95" t="s">
        <v>364</v>
      </c>
      <c r="I104" s="95" t="s">
        <v>11</v>
      </c>
      <c r="J104" s="94"/>
    </row>
    <row r="105" spans="1:10" ht="17.25" outlineLevel="1">
      <c r="A105" s="140"/>
      <c r="B105" s="81" t="s">
        <v>12</v>
      </c>
      <c r="C105" s="82" t="s">
        <v>3</v>
      </c>
      <c r="D105" s="80"/>
      <c r="E105" s="230">
        <f>'Scenario ALT'!E105-'Scenario SDG'!E105</f>
        <v>0</v>
      </c>
      <c r="F105" s="230">
        <f>'Scenario ALT'!F105-'Scenario SDG'!F105</f>
        <v>0</v>
      </c>
      <c r="G105" s="230">
        <f>'Scenario ALT'!G105-'Scenario SDG'!G105</f>
        <v>0</v>
      </c>
      <c r="H105" s="230">
        <f>'Scenario ALT'!H105-'Scenario SDG'!H105</f>
        <v>0</v>
      </c>
      <c r="I105" s="255">
        <f>'Scenario ALT'!I105-'Scenario SDG'!I105</f>
        <v>0</v>
      </c>
      <c r="J105" s="94"/>
    </row>
    <row r="106" spans="1:10" ht="17.25" outlineLevel="1">
      <c r="A106" s="140"/>
      <c r="B106" s="81" t="s">
        <v>13</v>
      </c>
      <c r="C106" s="82" t="s">
        <v>3</v>
      </c>
      <c r="D106" s="80"/>
      <c r="E106" s="230">
        <f>'Scenario ALT'!E106-'Scenario SDG'!E106</f>
        <v>0</v>
      </c>
      <c r="F106" s="230">
        <f>'Scenario ALT'!F106-'Scenario SDG'!F106</f>
        <v>0</v>
      </c>
      <c r="G106" s="230">
        <f>'Scenario ALT'!G106-'Scenario SDG'!G106</f>
        <v>0</v>
      </c>
      <c r="H106" s="230">
        <f>'Scenario ALT'!H106-'Scenario SDG'!H106</f>
        <v>0</v>
      </c>
      <c r="I106" s="255">
        <f>'Scenario ALT'!I106-'Scenario SDG'!I106</f>
        <v>0</v>
      </c>
      <c r="J106" s="94"/>
    </row>
    <row r="107" spans="1:10" ht="17.25" outlineLevel="1">
      <c r="A107" s="140"/>
      <c r="B107" s="81" t="s">
        <v>14</v>
      </c>
      <c r="C107" s="82" t="s">
        <v>3</v>
      </c>
      <c r="D107" s="80"/>
      <c r="E107" s="230">
        <f>'Scenario ALT'!E107-'Scenario SDG'!E107</f>
        <v>0</v>
      </c>
      <c r="F107" s="230">
        <f>'Scenario ALT'!F107-'Scenario SDG'!F107</f>
        <v>0</v>
      </c>
      <c r="G107" s="230">
        <f>'Scenario ALT'!G107-'Scenario SDG'!G107</f>
        <v>0</v>
      </c>
      <c r="H107" s="230">
        <f>'Scenario ALT'!H107-'Scenario SDG'!H107</f>
        <v>0</v>
      </c>
      <c r="I107" s="255">
        <f>'Scenario ALT'!I107-'Scenario SDG'!I107</f>
        <v>0</v>
      </c>
      <c r="J107" s="94"/>
    </row>
    <row r="108" spans="1:10" ht="17.25" outlineLevel="1">
      <c r="A108" s="140"/>
      <c r="B108" s="81" t="s">
        <v>15</v>
      </c>
      <c r="C108" s="82" t="s">
        <v>3</v>
      </c>
      <c r="D108" s="80"/>
      <c r="E108" s="230">
        <f>'Scenario ALT'!E108-'Scenario SDG'!E108</f>
        <v>0</v>
      </c>
      <c r="F108" s="230">
        <f>'Scenario ALT'!F108-'Scenario SDG'!F108</f>
        <v>0</v>
      </c>
      <c r="G108" s="230">
        <f>'Scenario ALT'!G108-'Scenario SDG'!G108</f>
        <v>0</v>
      </c>
      <c r="H108" s="230">
        <f>'Scenario ALT'!H108-'Scenario SDG'!H108</f>
        <v>0</v>
      </c>
      <c r="I108" s="255">
        <f>'Scenario ALT'!I108-'Scenario SDG'!I108</f>
        <v>0</v>
      </c>
      <c r="J108" s="94"/>
    </row>
    <row r="109" spans="1:10" ht="17.25" outlineLevel="1">
      <c r="A109" s="140"/>
      <c r="B109" s="81" t="s">
        <v>14</v>
      </c>
      <c r="C109" s="83" t="s">
        <v>49</v>
      </c>
      <c r="D109" s="84"/>
      <c r="E109" s="230">
        <f>'Scenario ALT'!E109-'Scenario SDG'!E109</f>
        <v>0</v>
      </c>
      <c r="F109" s="230">
        <f>'Scenario ALT'!F109-'Scenario SDG'!F109</f>
        <v>0</v>
      </c>
      <c r="G109" s="230">
        <f>'Scenario ALT'!G109-'Scenario SDG'!G109</f>
        <v>0</v>
      </c>
      <c r="H109" s="230">
        <f>'Scenario ALT'!H109-'Scenario SDG'!H109</f>
        <v>0</v>
      </c>
      <c r="I109" s="230">
        <f>'Scenario ALT'!I109-'Scenario SDG'!I109</f>
        <v>0</v>
      </c>
      <c r="J109" s="94"/>
    </row>
    <row r="110" spans="1:10" ht="17.25" outlineLevel="1">
      <c r="A110" s="140"/>
      <c r="B110" s="85" t="s">
        <v>15</v>
      </c>
      <c r="C110" s="82" t="s">
        <v>5</v>
      </c>
      <c r="D110" s="80"/>
      <c r="E110" s="230">
        <f>'Scenario ALT'!E110-'Scenario SDG'!E110</f>
        <v>0</v>
      </c>
      <c r="F110" s="230">
        <f>'Scenario ALT'!F110-'Scenario SDG'!F110</f>
        <v>0</v>
      </c>
      <c r="G110" s="230">
        <f>'Scenario ALT'!G110-'Scenario SDG'!G110</f>
        <v>0</v>
      </c>
      <c r="H110" s="230">
        <f>'Scenario ALT'!H110-'Scenario SDG'!H110</f>
        <v>0</v>
      </c>
      <c r="I110" s="230">
        <f>'Scenario ALT'!I110-'Scenario SDG'!I110</f>
        <v>0</v>
      </c>
      <c r="J110" s="94"/>
    </row>
    <row r="111" spans="1:10" ht="17.25" outlineLevel="1">
      <c r="A111" s="140"/>
      <c r="B111" s="85" t="s">
        <v>15</v>
      </c>
      <c r="C111" s="82" t="s">
        <v>16</v>
      </c>
      <c r="D111" s="80"/>
      <c r="E111" s="230">
        <f>'Scenario ALT'!E111-'Scenario SDG'!E111</f>
        <v>0</v>
      </c>
      <c r="F111" s="238"/>
      <c r="G111" s="238"/>
      <c r="H111" s="238"/>
      <c r="I111" s="255">
        <f>'Scenario ALT'!I111-'Scenario SDG'!I111</f>
        <v>0</v>
      </c>
      <c r="J111" s="94"/>
    </row>
    <row r="112" spans="1:10" ht="17.25" outlineLevel="1">
      <c r="A112" s="140"/>
      <c r="B112" s="170" t="s">
        <v>15</v>
      </c>
      <c r="C112" s="319" t="s">
        <v>367</v>
      </c>
      <c r="D112" s="320"/>
      <c r="E112" s="231">
        <f>'Scenario ALT'!E112-'Scenario SDG'!E112</f>
        <v>0</v>
      </c>
      <c r="F112" s="231">
        <f>'Scenario ALT'!F112-'Scenario SDG'!F112</f>
        <v>0</v>
      </c>
      <c r="G112" s="231">
        <f>'Scenario ALT'!G112-'Scenario SDG'!G112</f>
        <v>0</v>
      </c>
      <c r="H112" s="231">
        <f>'Scenario ALT'!H112-'Scenario SDG'!H112</f>
        <v>0</v>
      </c>
      <c r="I112" s="266">
        <f>'Scenario ALT'!I112-'Scenario SDG'!I112</f>
        <v>0</v>
      </c>
      <c r="J112" s="94"/>
    </row>
    <row r="113" spans="1:12" ht="17.25" outlineLevel="1">
      <c r="A113" s="140"/>
      <c r="B113" s="91" t="s">
        <v>460</v>
      </c>
      <c r="C113" s="91"/>
      <c r="D113" s="91"/>
      <c r="E113" s="97"/>
      <c r="F113" s="97"/>
      <c r="G113" s="97"/>
      <c r="H113" s="98"/>
      <c r="I113" s="101"/>
      <c r="J113" s="94"/>
    </row>
    <row r="114" spans="1:12" ht="17.25" outlineLevel="1">
      <c r="A114" s="140"/>
      <c r="B114" s="100"/>
      <c r="C114" s="91"/>
      <c r="D114" s="91"/>
      <c r="E114" s="97"/>
      <c r="F114" s="97"/>
      <c r="G114" s="97"/>
      <c r="H114" s="98"/>
      <c r="I114" s="101"/>
      <c r="J114" s="94"/>
    </row>
    <row r="115" spans="1:12" ht="17.25" outlineLevel="1">
      <c r="A115" s="140">
        <v>3</v>
      </c>
      <c r="B115" s="142" t="s">
        <v>45</v>
      </c>
      <c r="C115" s="94"/>
      <c r="D115" s="94"/>
      <c r="E115" s="94"/>
      <c r="F115" s="94"/>
      <c r="G115" s="94"/>
      <c r="H115" s="94"/>
      <c r="I115" s="94"/>
      <c r="J115" s="97"/>
    </row>
    <row r="116" spans="1:12" ht="17.25" outlineLevel="1">
      <c r="A116" s="140"/>
      <c r="B116" s="102"/>
      <c r="C116" s="94"/>
      <c r="D116" s="94"/>
      <c r="E116" s="94"/>
      <c r="F116" s="94"/>
      <c r="G116" s="94"/>
      <c r="H116" s="94"/>
      <c r="I116" s="94"/>
      <c r="J116" s="97"/>
    </row>
    <row r="117" spans="1:12" ht="40.5" customHeight="1" outlineLevel="1">
      <c r="A117" s="140"/>
      <c r="B117" s="78" t="s">
        <v>7</v>
      </c>
      <c r="C117" s="79" t="s">
        <v>2</v>
      </c>
      <c r="D117" s="80"/>
      <c r="E117" s="95" t="s">
        <v>19</v>
      </c>
      <c r="F117" s="95" t="s">
        <v>17</v>
      </c>
      <c r="G117" s="95" t="s">
        <v>18</v>
      </c>
      <c r="H117" s="95" t="s">
        <v>366</v>
      </c>
      <c r="I117" s="94"/>
      <c r="J117" s="99"/>
    </row>
    <row r="118" spans="1:12" ht="17.25" outlineLevel="1">
      <c r="A118" s="140"/>
      <c r="B118" s="81" t="s">
        <v>12</v>
      </c>
      <c r="C118" s="82" t="s">
        <v>3</v>
      </c>
      <c r="D118" s="80"/>
      <c r="E118" s="230">
        <f>'Scenario ALT'!E118-'Scenario SDG'!E118</f>
        <v>0</v>
      </c>
      <c r="F118" s="230">
        <f>'Scenario ALT'!F118-'Scenario SDG'!F118</f>
        <v>0</v>
      </c>
      <c r="G118" s="230">
        <f>'Scenario ALT'!G118-'Scenario SDG'!G118</f>
        <v>0</v>
      </c>
      <c r="H118" s="230">
        <f>'Scenario ALT'!H118-'Scenario SDG'!H118</f>
        <v>0</v>
      </c>
      <c r="I118" s="99"/>
      <c r="J118" s="99"/>
      <c r="K118" s="10"/>
      <c r="L118" s="20"/>
    </row>
    <row r="119" spans="1:12" ht="17.25" outlineLevel="1">
      <c r="A119" s="140"/>
      <c r="B119" s="81" t="s">
        <v>13</v>
      </c>
      <c r="C119" s="82" t="s">
        <v>3</v>
      </c>
      <c r="D119" s="80"/>
      <c r="E119" s="230">
        <f>'Scenario ALT'!E119-'Scenario SDG'!E119</f>
        <v>0</v>
      </c>
      <c r="F119" s="230">
        <f>'Scenario ALT'!F119-'Scenario SDG'!F119</f>
        <v>0</v>
      </c>
      <c r="G119" s="230">
        <f>'Scenario ALT'!G119-'Scenario SDG'!G119</f>
        <v>0</v>
      </c>
      <c r="H119" s="230">
        <f>'Scenario ALT'!H119-'Scenario SDG'!H119</f>
        <v>0</v>
      </c>
      <c r="I119" s="94"/>
      <c r="J119" s="97"/>
      <c r="L119" s="20"/>
    </row>
    <row r="120" spans="1:12" ht="17.25" outlineLevel="1">
      <c r="A120" s="140"/>
      <c r="B120" s="81" t="s">
        <v>14</v>
      </c>
      <c r="C120" s="82" t="s">
        <v>3</v>
      </c>
      <c r="D120" s="80"/>
      <c r="E120" s="230">
        <f>'Scenario ALT'!E120-'Scenario SDG'!E120</f>
        <v>0</v>
      </c>
      <c r="F120" s="230">
        <f>'Scenario ALT'!F120-'Scenario SDG'!F120</f>
        <v>0</v>
      </c>
      <c r="G120" s="230">
        <f>'Scenario ALT'!G120-'Scenario SDG'!G120</f>
        <v>0</v>
      </c>
      <c r="H120" s="230">
        <f>'Scenario ALT'!H120-'Scenario SDG'!H120</f>
        <v>0</v>
      </c>
      <c r="I120" s="94"/>
      <c r="J120" s="97"/>
      <c r="L120" s="20"/>
    </row>
    <row r="121" spans="1:12" ht="17.25" outlineLevel="1">
      <c r="A121" s="140"/>
      <c r="B121" s="81" t="s">
        <v>15</v>
      </c>
      <c r="C121" s="82" t="s">
        <v>3</v>
      </c>
      <c r="D121" s="80"/>
      <c r="E121" s="230">
        <f>'Scenario ALT'!E121-'Scenario SDG'!E121</f>
        <v>0</v>
      </c>
      <c r="F121" s="230">
        <f>'Scenario ALT'!F121-'Scenario SDG'!F121</f>
        <v>0</v>
      </c>
      <c r="G121" s="230">
        <f>'Scenario ALT'!G121-'Scenario SDG'!G121</f>
        <v>0</v>
      </c>
      <c r="H121" s="230">
        <f>'Scenario ALT'!H121-'Scenario SDG'!H121</f>
        <v>0</v>
      </c>
      <c r="I121" s="94"/>
      <c r="J121" s="97"/>
      <c r="L121" s="20"/>
    </row>
    <row r="122" spans="1:12" outlineLevel="1">
      <c r="A122" s="92"/>
      <c r="B122" s="81" t="s">
        <v>14</v>
      </c>
      <c r="C122" s="83" t="s">
        <v>49</v>
      </c>
      <c r="D122" s="84"/>
      <c r="E122" s="230">
        <f>'Scenario ALT'!E122-'Scenario SDG'!E122</f>
        <v>0</v>
      </c>
      <c r="F122" s="230">
        <f>'Scenario ALT'!F122-'Scenario SDG'!F122</f>
        <v>0</v>
      </c>
      <c r="G122" s="230">
        <f>'Scenario ALT'!G122-'Scenario SDG'!G122</f>
        <v>0</v>
      </c>
      <c r="H122" s="230">
        <f>'Scenario ALT'!H122-'Scenario SDG'!H122</f>
        <v>0</v>
      </c>
      <c r="I122" s="94"/>
      <c r="J122" s="97"/>
      <c r="L122" s="20"/>
    </row>
    <row r="123" spans="1:12" outlineLevel="1">
      <c r="A123" s="92"/>
      <c r="B123" s="85" t="s">
        <v>15</v>
      </c>
      <c r="C123" s="82" t="s">
        <v>5</v>
      </c>
      <c r="D123" s="80"/>
      <c r="E123" s="230">
        <f>'Scenario ALT'!E123-'Scenario SDG'!E123</f>
        <v>0</v>
      </c>
      <c r="F123" s="230">
        <f>'Scenario ALT'!F123-'Scenario SDG'!F123</f>
        <v>0</v>
      </c>
      <c r="G123" s="230">
        <f>'Scenario ALT'!G123-'Scenario SDG'!G123</f>
        <v>0</v>
      </c>
      <c r="H123" s="230">
        <f>'Scenario ALT'!H123-'Scenario SDG'!H123</f>
        <v>0</v>
      </c>
      <c r="I123" s="94"/>
      <c r="J123" s="97"/>
      <c r="L123" s="20"/>
    </row>
    <row r="124" spans="1:12" outlineLevel="1">
      <c r="A124" s="92"/>
      <c r="B124" s="85" t="s">
        <v>15</v>
      </c>
      <c r="C124" s="86" t="s">
        <v>16</v>
      </c>
      <c r="D124" s="87"/>
      <c r="E124" s="230">
        <f>'Scenario ALT'!E124-'Scenario SDG'!E124</f>
        <v>0</v>
      </c>
      <c r="F124" s="238"/>
      <c r="G124" s="238"/>
      <c r="H124" s="238"/>
      <c r="I124" s="94"/>
      <c r="J124" s="97"/>
      <c r="L124" s="20"/>
    </row>
    <row r="125" spans="1:12" outlineLevel="1">
      <c r="A125" s="92"/>
      <c r="B125" s="172" t="s">
        <v>368</v>
      </c>
      <c r="C125" s="321" t="s">
        <v>367</v>
      </c>
      <c r="D125" s="322"/>
      <c r="E125" s="231">
        <f>'Scenario ALT'!E125-'Scenario SDG'!E125</f>
        <v>0</v>
      </c>
      <c r="F125" s="231">
        <f>'Scenario ALT'!F125-'Scenario SDG'!F125</f>
        <v>0</v>
      </c>
      <c r="G125" s="231">
        <f>'Scenario ALT'!G125-'Scenario SDG'!G125</f>
        <v>0</v>
      </c>
      <c r="H125" s="231">
        <f>'Scenario ALT'!H125-'Scenario SDG'!H125</f>
        <v>0</v>
      </c>
      <c r="I125" s="94"/>
      <c r="J125" s="94"/>
    </row>
    <row r="126" spans="1:12">
      <c r="A126" s="92"/>
      <c r="B126" s="96"/>
      <c r="C126" s="94"/>
      <c r="D126" s="94"/>
      <c r="E126" s="94"/>
      <c r="F126" s="94"/>
      <c r="G126" s="94"/>
      <c r="H126" s="94"/>
      <c r="I126" s="94"/>
      <c r="J126" s="94"/>
    </row>
    <row r="128" spans="1:12">
      <c r="H128" s="5"/>
    </row>
  </sheetData>
  <mergeCells count="8">
    <mergeCell ref="C125:D125"/>
    <mergeCell ref="A6:G6"/>
    <mergeCell ref="C13:F13"/>
    <mergeCell ref="C19:F19"/>
    <mergeCell ref="A64:G64"/>
    <mergeCell ref="C112:D112"/>
    <mergeCell ref="B61:J61"/>
    <mergeCell ref="B62:I62"/>
  </mergeCells>
  <pageMargins left="0.7" right="0.7" top="0.75" bottom="0.75" header="0.3" footer="0.3"/>
  <pageSetup paperSize="9" scale="3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52889-27E4-4136-88E7-5C014F7157DA}">
  <sheetPr>
    <tabColor theme="9" tint="0.79998168889431442"/>
  </sheetPr>
  <dimension ref="A1:AR133"/>
  <sheetViews>
    <sheetView zoomScale="90" zoomScaleNormal="90" workbookViewId="0">
      <selection activeCell="A14" sqref="A14"/>
    </sheetView>
  </sheetViews>
  <sheetFormatPr defaultColWidth="9.140625" defaultRowHeight="15"/>
  <cols>
    <col min="1" max="1" width="41.85546875" customWidth="1"/>
    <col min="6" max="7" width="9.140625" style="179"/>
    <col min="10" max="11" width="9.140625" style="179"/>
    <col min="14" max="15" width="9.140625" style="179"/>
    <col min="16" max="16" width="11.28515625" customWidth="1"/>
    <col min="18" max="19" width="9.140625" style="179"/>
    <col min="21" max="22" width="9.140625" style="179"/>
    <col min="23" max="24" width="11.42578125" bestFit="1" customWidth="1"/>
    <col min="25" max="25" width="10.42578125" bestFit="1" customWidth="1"/>
    <col min="26" max="27" width="11.42578125" bestFit="1" customWidth="1"/>
    <col min="28" max="28" width="10.42578125" bestFit="1" customWidth="1"/>
    <col min="31" max="32" width="9.140625" style="179"/>
    <col min="35" max="36" width="9.140625" style="179"/>
    <col min="40" max="41" width="9.140625" style="179"/>
    <col min="43" max="44" width="9.140625" style="179"/>
  </cols>
  <sheetData>
    <row r="1" spans="1:44">
      <c r="A1" t="s">
        <v>370</v>
      </c>
      <c r="B1" t="s">
        <v>68</v>
      </c>
      <c r="C1" t="s">
        <v>371</v>
      </c>
      <c r="D1" s="173" t="s">
        <v>372</v>
      </c>
      <c r="E1" s="174" t="s">
        <v>373</v>
      </c>
      <c r="F1" s="177" t="s">
        <v>374</v>
      </c>
      <c r="G1" s="177" t="s">
        <v>375</v>
      </c>
      <c r="H1" s="173" t="s">
        <v>376</v>
      </c>
      <c r="I1" s="218" t="s">
        <v>377</v>
      </c>
      <c r="J1" s="177" t="s">
        <v>378</v>
      </c>
      <c r="K1" s="177" t="s">
        <v>379</v>
      </c>
      <c r="L1" s="173" t="s">
        <v>380</v>
      </c>
      <c r="M1" s="174" t="s">
        <v>381</v>
      </c>
      <c r="N1" s="177" t="s">
        <v>382</v>
      </c>
      <c r="O1" s="177" t="s">
        <v>383</v>
      </c>
      <c r="P1" s="173" t="s">
        <v>384</v>
      </c>
      <c r="Q1" s="218" t="s">
        <v>385</v>
      </c>
      <c r="R1" s="177" t="s">
        <v>386</v>
      </c>
      <c r="S1" s="177" t="s">
        <v>387</v>
      </c>
      <c r="T1" s="218" t="s">
        <v>388</v>
      </c>
      <c r="U1" s="177" t="s">
        <v>389</v>
      </c>
      <c r="V1" s="177" t="s">
        <v>390</v>
      </c>
      <c r="W1" s="217" t="s">
        <v>410</v>
      </c>
      <c r="X1" s="217" t="s">
        <v>411</v>
      </c>
      <c r="Y1" s="217" t="s">
        <v>412</v>
      </c>
      <c r="Z1" s="217" t="s">
        <v>407</v>
      </c>
      <c r="AA1" s="217" t="s">
        <v>408</v>
      </c>
      <c r="AB1" s="217" t="s">
        <v>409</v>
      </c>
      <c r="AC1" s="173" t="s">
        <v>391</v>
      </c>
      <c r="AD1" s="215" t="s">
        <v>392</v>
      </c>
      <c r="AE1" s="177" t="s">
        <v>393</v>
      </c>
      <c r="AF1" s="177" t="s">
        <v>394</v>
      </c>
      <c r="AG1" s="173" t="s">
        <v>395</v>
      </c>
      <c r="AH1" s="215" t="s">
        <v>396</v>
      </c>
      <c r="AI1" s="177" t="s">
        <v>397</v>
      </c>
      <c r="AJ1" s="177" t="s">
        <v>398</v>
      </c>
      <c r="AK1" s="173" t="s">
        <v>399</v>
      </c>
      <c r="AL1" s="173" t="s">
        <v>400</v>
      </c>
      <c r="AM1" s="216" t="s">
        <v>401</v>
      </c>
      <c r="AN1" s="177" t="s">
        <v>402</v>
      </c>
      <c r="AO1" s="177" t="s">
        <v>403</v>
      </c>
      <c r="AP1" s="216" t="s">
        <v>404</v>
      </c>
      <c r="AQ1" s="177" t="s">
        <v>405</v>
      </c>
      <c r="AR1" s="177" t="s">
        <v>406</v>
      </c>
    </row>
    <row r="2" spans="1:44">
      <c r="A2" t="s">
        <v>233</v>
      </c>
      <c r="B2" t="s">
        <v>77</v>
      </c>
      <c r="C2">
        <v>2019</v>
      </c>
      <c r="D2" s="176">
        <v>74.3463668445862</v>
      </c>
      <c r="E2" s="175">
        <v>73.249252319335938</v>
      </c>
      <c r="F2" s="178">
        <v>60.428611755371094</v>
      </c>
      <c r="G2" s="178">
        <v>83.079254150390625</v>
      </c>
      <c r="H2" s="176">
        <v>72.434218847768392</v>
      </c>
      <c r="I2" s="175">
        <v>67.946601867675781</v>
      </c>
      <c r="J2" s="178">
        <v>59.699203491210938</v>
      </c>
      <c r="K2" s="178">
        <v>75.207138061523395</v>
      </c>
      <c r="L2" s="176">
        <v>46.169953529131362</v>
      </c>
      <c r="M2" s="175">
        <v>44.522724151611328</v>
      </c>
      <c r="N2" s="178">
        <v>30.285797119140625</v>
      </c>
      <c r="O2" s="178">
        <v>59.719173431396484</v>
      </c>
      <c r="P2" s="176">
        <v>26.79895584053137</v>
      </c>
      <c r="Q2" s="175">
        <v>26.502668380737305</v>
      </c>
      <c r="R2" s="178">
        <v>16.742988586425781</v>
      </c>
      <c r="S2" s="178">
        <v>39.268150329589844</v>
      </c>
      <c r="T2" s="175">
        <v>9.4030799999999992</v>
      </c>
      <c r="U2" s="178">
        <v>6.10114</v>
      </c>
      <c r="V2" s="178">
        <v>14.22137</v>
      </c>
      <c r="W2" s="175">
        <v>14.574439999999999</v>
      </c>
      <c r="X2" s="175">
        <v>3.3732959999999999</v>
      </c>
      <c r="Y2" s="175">
        <v>0.12402820000000001</v>
      </c>
      <c r="Z2" s="175">
        <v>9.4455899999999993</v>
      </c>
      <c r="AA2" s="175">
        <v>3.954367</v>
      </c>
      <c r="AB2" s="175">
        <v>0.59246659999999995</v>
      </c>
      <c r="AC2" s="176">
        <v>49.006169515681627</v>
      </c>
      <c r="AD2" s="175">
        <v>46.221809387207031</v>
      </c>
      <c r="AE2" s="178">
        <v>37.136302947998047</v>
      </c>
      <c r="AF2" s="178">
        <v>55.565376281738281</v>
      </c>
      <c r="AG2" s="176">
        <v>3.0892265331642661</v>
      </c>
      <c r="AH2" s="175">
        <v>2.0852465629577637</v>
      </c>
      <c r="AI2" s="178">
        <v>0.76951408386230469</v>
      </c>
      <c r="AJ2" s="178">
        <v>5.525383472442627</v>
      </c>
      <c r="AK2" s="176"/>
      <c r="AL2" s="176">
        <v>38.021139594603213</v>
      </c>
      <c r="AM2" s="175">
        <v>51.206779479980504</v>
      </c>
      <c r="AN2" s="178">
        <v>34.515022277832003</v>
      </c>
      <c r="AO2" s="178">
        <v>67.6336669921875</v>
      </c>
      <c r="AP2" s="175">
        <v>19.242334676113099</v>
      </c>
      <c r="AQ2" s="178">
        <v>2.1194527428755601</v>
      </c>
      <c r="AR2" s="178">
        <v>72.390391126510494</v>
      </c>
    </row>
    <row r="3" spans="1:44">
      <c r="A3" t="s">
        <v>235</v>
      </c>
      <c r="B3" t="s">
        <v>79</v>
      </c>
      <c r="C3">
        <v>2019</v>
      </c>
      <c r="D3" s="176">
        <v>96.974910180289157</v>
      </c>
      <c r="E3" s="175">
        <v>97.711395263671875</v>
      </c>
      <c r="F3" s="178">
        <v>94.602569580078125</v>
      </c>
      <c r="G3" s="178">
        <v>99.047615051269531</v>
      </c>
      <c r="H3" s="176">
        <v>94.758222870438161</v>
      </c>
      <c r="I3" s="175">
        <v>96.564041137695313</v>
      </c>
      <c r="J3" s="178">
        <v>94.099937438964844</v>
      </c>
      <c r="K3" s="178">
        <v>98.020683288574219</v>
      </c>
      <c r="L3" s="176">
        <v>82.188779882719118</v>
      </c>
      <c r="M3" s="175">
        <v>86.604232788085938</v>
      </c>
      <c r="N3" s="178">
        <v>76.321624755859375</v>
      </c>
      <c r="O3" s="178">
        <v>92.840385437011719</v>
      </c>
      <c r="P3" s="176">
        <v>70.665853647800716</v>
      </c>
      <c r="Q3" s="175">
        <v>80.623092651367188</v>
      </c>
      <c r="R3" s="178">
        <v>63.073928833007813</v>
      </c>
      <c r="S3" s="178">
        <v>91.019485473632813</v>
      </c>
      <c r="T3" s="175">
        <v>57.242859999999993</v>
      </c>
      <c r="U3" s="178">
        <v>22.521000000000001</v>
      </c>
      <c r="V3" s="178">
        <v>86.045720000000003</v>
      </c>
      <c r="W3" s="175">
        <v>5.5255229999999997</v>
      </c>
      <c r="X3" s="175">
        <v>4.4355469999999997</v>
      </c>
      <c r="Y3" s="175">
        <v>0</v>
      </c>
      <c r="Z3" s="175">
        <v>5.1007600000000002</v>
      </c>
      <c r="AA3" s="175">
        <v>2.0859969999999999</v>
      </c>
      <c r="AB3" s="175">
        <v>2.95453E-2</v>
      </c>
      <c r="AC3" s="176">
        <v>99.18306692487829</v>
      </c>
      <c r="AD3" s="175">
        <v>97.00067138671875</v>
      </c>
      <c r="AE3" s="178">
        <v>95.605461120605469</v>
      </c>
      <c r="AF3" s="178">
        <v>97.962364196777344</v>
      </c>
      <c r="AG3" s="176">
        <v>78.966637932319017</v>
      </c>
      <c r="AH3" s="175">
        <v>76.345451354980469</v>
      </c>
      <c r="AI3" s="178">
        <v>56.665061950683594</v>
      </c>
      <c r="AJ3" s="178">
        <v>88.847198486328125</v>
      </c>
      <c r="AK3" s="176">
        <v>47.577140999999997</v>
      </c>
      <c r="AL3" s="176"/>
      <c r="AM3" s="175">
        <v>98.834075927734403</v>
      </c>
      <c r="AN3" s="178">
        <v>93.501182556152301</v>
      </c>
      <c r="AO3" s="178">
        <v>99.800178527832003</v>
      </c>
      <c r="AP3" s="175">
        <v>25.258981493575998</v>
      </c>
      <c r="AQ3" s="178">
        <v>1.24379740650686</v>
      </c>
      <c r="AR3" s="178">
        <v>90.067888208454903</v>
      </c>
    </row>
    <row r="4" spans="1:44">
      <c r="A4" t="s">
        <v>262</v>
      </c>
      <c r="B4" t="s">
        <v>108</v>
      </c>
      <c r="C4">
        <v>2019</v>
      </c>
      <c r="D4" s="176">
        <v>99.258665842866748</v>
      </c>
      <c r="E4" s="175">
        <v>99.058937072753906</v>
      </c>
      <c r="F4" s="178">
        <v>97.294815063476563</v>
      </c>
      <c r="G4" s="178">
        <v>99.67645263671875</v>
      </c>
      <c r="H4" s="176">
        <v>94.239139563366976</v>
      </c>
      <c r="I4" s="175">
        <v>94.540374755859375</v>
      </c>
      <c r="J4" s="178">
        <v>90.277969360351563</v>
      </c>
      <c r="K4" s="178">
        <v>96.996200561523438</v>
      </c>
      <c r="L4" s="176">
        <v>78.253654050039458</v>
      </c>
      <c r="M4" s="175">
        <v>80.530174255371094</v>
      </c>
      <c r="N4" s="178">
        <v>66.327491760253906</v>
      </c>
      <c r="O4" s="178">
        <v>89.67486572265625</v>
      </c>
      <c r="P4" s="176">
        <v>73.139745874458825</v>
      </c>
      <c r="Q4" s="175">
        <v>74.601829528808594</v>
      </c>
      <c r="R4" s="178">
        <v>50.090072631835938</v>
      </c>
      <c r="S4" s="178">
        <v>89.579696655273438</v>
      </c>
      <c r="T4" s="175">
        <v>48.505629999999996</v>
      </c>
      <c r="U4" s="178">
        <v>35.44126</v>
      </c>
      <c r="V4" s="178">
        <v>61.777459999999998</v>
      </c>
      <c r="W4" s="175">
        <v>2.08847</v>
      </c>
      <c r="X4" s="175">
        <v>9.6445519999999991</v>
      </c>
      <c r="Y4" s="175">
        <v>5.3800199999999999E-2</v>
      </c>
      <c r="Z4" s="175">
        <v>1.1310789999999999</v>
      </c>
      <c r="AA4" s="175">
        <v>6.7122149999999996</v>
      </c>
      <c r="AB4" s="175">
        <v>0</v>
      </c>
      <c r="AC4" s="176">
        <v>86.138504114513267</v>
      </c>
      <c r="AD4" s="175">
        <v>87.840324401855469</v>
      </c>
      <c r="AE4" s="178">
        <v>83.337570190429688</v>
      </c>
      <c r="AF4" s="178">
        <v>91.253982543945313</v>
      </c>
      <c r="AG4" s="176">
        <v>87.355291246720682</v>
      </c>
      <c r="AH4" s="175">
        <v>74.015830993652344</v>
      </c>
      <c r="AI4" s="178">
        <v>58.212043762207031</v>
      </c>
      <c r="AJ4" s="178">
        <v>85.347236633300781</v>
      </c>
      <c r="AK4" s="176"/>
      <c r="AL4" s="176">
        <v>84.507560768459058</v>
      </c>
      <c r="AM4" s="175">
        <v>81.952072143554702</v>
      </c>
      <c r="AN4" s="178">
        <v>72.416358947753906</v>
      </c>
      <c r="AO4" s="178">
        <v>88.705421447753906</v>
      </c>
      <c r="AP4" s="175">
        <v>12.909492613833601</v>
      </c>
      <c r="AQ4" s="178">
        <v>0.83719304535123007</v>
      </c>
      <c r="AR4" s="178">
        <v>72.241922224638699</v>
      </c>
    </row>
    <row r="5" spans="1:44">
      <c r="A5" t="s">
        <v>234</v>
      </c>
      <c r="B5" t="s">
        <v>78</v>
      </c>
      <c r="C5">
        <v>2019</v>
      </c>
      <c r="D5" s="176">
        <v>66.165086289089558</v>
      </c>
      <c r="E5" s="175">
        <v>73.074501037597656</v>
      </c>
      <c r="F5" s="178">
        <v>50.579524993896484</v>
      </c>
      <c r="G5" s="178">
        <v>87.800041198730469</v>
      </c>
      <c r="H5" s="176">
        <v>56.883039033313018</v>
      </c>
      <c r="I5" s="175">
        <v>59.367404937744141</v>
      </c>
      <c r="J5" s="178">
        <v>42.660549163818359</v>
      </c>
      <c r="K5" s="178">
        <v>74.15545654296875</v>
      </c>
      <c r="L5" s="176">
        <v>38.74901008228499</v>
      </c>
      <c r="M5" s="175">
        <v>41.546138763427734</v>
      </c>
      <c r="N5" s="178">
        <v>21.010957717895508</v>
      </c>
      <c r="O5" s="178">
        <v>65.5069580078125</v>
      </c>
      <c r="P5" s="176"/>
      <c r="Q5" s="175">
        <v>30.745986938476563</v>
      </c>
      <c r="R5" s="178">
        <v>14.341076850891113</v>
      </c>
      <c r="S5" s="178">
        <v>54.071022033691406</v>
      </c>
      <c r="T5" s="175">
        <v>10.039679999999999</v>
      </c>
      <c r="U5" s="178">
        <v>2.6378300000000001</v>
      </c>
      <c r="V5" s="178">
        <v>31.493100000000002</v>
      </c>
      <c r="W5" s="175">
        <v>7.5299060000000004</v>
      </c>
      <c r="X5" s="175">
        <v>14.289580000000001</v>
      </c>
      <c r="Y5" s="175">
        <v>4.8645800000000003E-2</v>
      </c>
      <c r="Z5" s="175">
        <v>11.254099999999999</v>
      </c>
      <c r="AA5" s="175">
        <v>23.954070000000002</v>
      </c>
      <c r="AB5" s="175">
        <v>0.18565229999999999</v>
      </c>
      <c r="AC5" s="176">
        <v>51.393624060045347</v>
      </c>
      <c r="AD5" s="175">
        <v>50.993747711181641</v>
      </c>
      <c r="AE5" s="178">
        <v>39.057395935058594</v>
      </c>
      <c r="AF5" s="178">
        <v>62.817840576171875</v>
      </c>
      <c r="AG5" s="176">
        <v>12.86735758157136</v>
      </c>
      <c r="AH5" s="175">
        <v>5.4917278289794922</v>
      </c>
      <c r="AI5" s="178">
        <v>2.1184227466583252</v>
      </c>
      <c r="AJ5" s="178">
        <v>13.495941162109375</v>
      </c>
      <c r="AK5" s="176"/>
      <c r="AL5" s="176">
        <v>26.959800344498131</v>
      </c>
      <c r="AM5" s="175">
        <v>33.081974029541001</v>
      </c>
      <c r="AN5" s="178">
        <v>19.4792175292969</v>
      </c>
      <c r="AO5" s="178">
        <v>50.2551879882812</v>
      </c>
      <c r="AP5" s="175">
        <v>9.4632612610099791</v>
      </c>
      <c r="AQ5" s="178">
        <v>1.35766148782077</v>
      </c>
      <c r="AR5" s="178">
        <v>44.252012258450598</v>
      </c>
    </row>
    <row r="6" spans="1:44">
      <c r="A6" t="s">
        <v>236</v>
      </c>
      <c r="B6" t="s">
        <v>80</v>
      </c>
      <c r="C6">
        <v>2019</v>
      </c>
      <c r="D6" s="176"/>
      <c r="E6" s="175">
        <v>99.273101806640625</v>
      </c>
      <c r="F6" s="178">
        <v>98.027198791503906</v>
      </c>
      <c r="G6" s="178">
        <v>99.734298706054688</v>
      </c>
      <c r="H6" s="176"/>
      <c r="I6" s="175">
        <v>97.873077392578125</v>
      </c>
      <c r="J6" s="178">
        <v>76.102409362792969</v>
      </c>
      <c r="K6" s="178">
        <v>99.849838256835938</v>
      </c>
      <c r="L6" s="176"/>
      <c r="M6" s="175">
        <v>97.873077392578125</v>
      </c>
      <c r="N6" s="178">
        <v>96.463104248046875</v>
      </c>
      <c r="O6" s="178">
        <v>98.992729187011719</v>
      </c>
      <c r="P6" s="176"/>
      <c r="Q6" s="175">
        <v>77.016815185546875</v>
      </c>
      <c r="R6" s="178">
        <v>54.939044952392578</v>
      </c>
      <c r="S6" s="178">
        <v>90.205894470214844</v>
      </c>
      <c r="T6" s="175">
        <v>64.754179999999991</v>
      </c>
      <c r="U6" s="178">
        <v>24.749019999999998</v>
      </c>
      <c r="V6" s="178">
        <v>91.121380000000002</v>
      </c>
      <c r="W6" s="175">
        <v>19.147600000000001</v>
      </c>
      <c r="X6" s="175">
        <v>16.786919999999999</v>
      </c>
      <c r="Y6" s="175">
        <v>5.6324800000000001E-2</v>
      </c>
      <c r="Z6" s="175">
        <v>21.435099999999998</v>
      </c>
      <c r="AA6" s="175">
        <v>13.124969999999999</v>
      </c>
      <c r="AB6" s="175">
        <v>0.1432475</v>
      </c>
      <c r="AC6" s="176"/>
      <c r="AD6" s="175">
        <v>96.413909912109375</v>
      </c>
      <c r="AE6" s="178">
        <v>95.127944946289063</v>
      </c>
      <c r="AF6" s="178">
        <v>97.369834899902344</v>
      </c>
      <c r="AG6" s="176"/>
      <c r="AH6" s="175">
        <v>58.273689270019531</v>
      </c>
      <c r="AI6" s="178">
        <v>45.495643615722656</v>
      </c>
      <c r="AJ6" s="178">
        <v>70.02947998046875</v>
      </c>
      <c r="AK6" s="176"/>
      <c r="AL6" s="176"/>
      <c r="AM6" s="175">
        <v>84.930816650390597</v>
      </c>
      <c r="AN6" s="178">
        <v>42.676727294921903</v>
      </c>
      <c r="AO6" s="178">
        <v>97.709938049316406</v>
      </c>
      <c r="AP6" s="175">
        <v>36.432405115216099</v>
      </c>
      <c r="AQ6" s="178">
        <v>28.455361984862197</v>
      </c>
      <c r="AR6" s="178">
        <v>45.231896851235895</v>
      </c>
    </row>
    <row r="7" spans="1:44">
      <c r="A7" t="s">
        <v>237</v>
      </c>
      <c r="B7" t="s">
        <v>81</v>
      </c>
      <c r="C7">
        <v>2019</v>
      </c>
      <c r="D7" s="176">
        <v>99.968732207695581</v>
      </c>
      <c r="E7" s="175">
        <v>99.934196472167969</v>
      </c>
      <c r="F7" s="178">
        <v>99.884483337402344</v>
      </c>
      <c r="G7" s="178">
        <v>99.9625244140625</v>
      </c>
      <c r="H7" s="176">
        <v>99.968732207695581</v>
      </c>
      <c r="I7" s="175">
        <v>99.77874755859375</v>
      </c>
      <c r="J7" s="178">
        <v>99.585212707519531</v>
      </c>
      <c r="K7" s="178">
        <v>99.882087707519531</v>
      </c>
      <c r="L7" s="176">
        <v>99.605861950907936</v>
      </c>
      <c r="M7" s="175">
        <v>99.760589599609375</v>
      </c>
      <c r="N7" s="178">
        <v>99.631370544433594</v>
      </c>
      <c r="O7" s="178">
        <v>99.844581604003906</v>
      </c>
      <c r="P7" s="176">
        <v>86.422968993552871</v>
      </c>
      <c r="Q7" s="175">
        <v>80.482200622558594</v>
      </c>
      <c r="R7" s="178">
        <v>70.129669189453125</v>
      </c>
      <c r="S7" s="178">
        <v>87.867454528808594</v>
      </c>
      <c r="T7" s="175">
        <v>62.146090000000001</v>
      </c>
      <c r="U7" s="178">
        <v>27.403070000000003</v>
      </c>
      <c r="V7" s="178">
        <v>87.71566</v>
      </c>
      <c r="W7" s="175">
        <v>19.933240000000001</v>
      </c>
      <c r="X7" s="175">
        <v>1.5875539999999999</v>
      </c>
      <c r="Y7" s="175">
        <v>9.7435599999999997E-2</v>
      </c>
      <c r="Z7" s="175">
        <v>8.0534870000000005</v>
      </c>
      <c r="AA7" s="175">
        <v>0.66607110000000003</v>
      </c>
      <c r="AB7" s="175">
        <v>2.2182899999999998E-2</v>
      </c>
      <c r="AC7" s="176">
        <v>93.852405319669629</v>
      </c>
      <c r="AD7" s="175">
        <v>96.909187316894531</v>
      </c>
      <c r="AE7" s="178">
        <v>95.534477233886719</v>
      </c>
      <c r="AF7" s="178">
        <v>97.870132446289063</v>
      </c>
      <c r="AG7" s="176">
        <v>71.319083928986217</v>
      </c>
      <c r="AH7" s="175">
        <v>68.375381469726563</v>
      </c>
      <c r="AI7" s="178">
        <v>49.865226745605469</v>
      </c>
      <c r="AJ7" s="178">
        <v>82.455886840820313</v>
      </c>
      <c r="AK7" s="176">
        <v>67.762795999999994</v>
      </c>
      <c r="AL7" s="176">
        <v>94.709789783653918</v>
      </c>
      <c r="AM7" s="175">
        <v>94.952308654785199</v>
      </c>
      <c r="AN7" s="178">
        <v>92.109748840332003</v>
      </c>
      <c r="AO7" s="178">
        <v>96.806312561035199</v>
      </c>
      <c r="AP7" s="175">
        <v>24.7686067620491</v>
      </c>
      <c r="AQ7" s="178">
        <v>1.32007830301007</v>
      </c>
      <c r="AR7" s="178">
        <v>89.014345125081292</v>
      </c>
    </row>
    <row r="8" spans="1:44">
      <c r="A8" t="s">
        <v>238</v>
      </c>
      <c r="B8" t="s">
        <v>82</v>
      </c>
      <c r="C8">
        <v>2019</v>
      </c>
      <c r="D8" s="176">
        <v>96.449563794997786</v>
      </c>
      <c r="E8" s="175">
        <v>96.699165344238281</v>
      </c>
      <c r="F8" s="178">
        <v>93.964729309082031</v>
      </c>
      <c r="G8" s="178">
        <v>98.218185424804688</v>
      </c>
      <c r="H8" s="176">
        <v>95.41371728373035</v>
      </c>
      <c r="I8" s="175">
        <v>92.593986511230469</v>
      </c>
      <c r="J8" s="178">
        <v>85.693832397460938</v>
      </c>
      <c r="K8" s="178">
        <v>96.30938720703125</v>
      </c>
      <c r="L8" s="176">
        <v>89.845271854554298</v>
      </c>
      <c r="M8" s="175">
        <v>89.794143676757813</v>
      </c>
      <c r="N8" s="178">
        <v>75.28851318359375</v>
      </c>
      <c r="O8" s="178">
        <v>96.213241577148438</v>
      </c>
      <c r="P8" s="176">
        <v>87.744109313675153</v>
      </c>
      <c r="Q8" s="175">
        <v>89.794143676757813</v>
      </c>
      <c r="R8" s="178">
        <v>75.28851318359375</v>
      </c>
      <c r="S8" s="178">
        <v>96.213241577148438</v>
      </c>
      <c r="T8" s="175">
        <v>74.338040000000007</v>
      </c>
      <c r="U8" s="178">
        <v>35.346630000000005</v>
      </c>
      <c r="V8" s="178">
        <v>93.883490000000009</v>
      </c>
      <c r="W8" s="175">
        <v>60.725200000000001</v>
      </c>
      <c r="X8" s="175">
        <v>2.6641970000000001</v>
      </c>
      <c r="Y8" s="175">
        <v>0.10253760000000001</v>
      </c>
      <c r="Z8" s="175">
        <v>60.723979999999997</v>
      </c>
      <c r="AA8" s="175">
        <v>0.93787609999999999</v>
      </c>
      <c r="AB8" s="175">
        <v>2.6830799999999998E-2</v>
      </c>
      <c r="AC8" s="176">
        <v>96.129030130160672</v>
      </c>
      <c r="AD8" s="175">
        <v>91.161842346191406</v>
      </c>
      <c r="AE8" s="178">
        <v>84.39324951171875</v>
      </c>
      <c r="AF8" s="178">
        <v>95.163162231445313</v>
      </c>
      <c r="AG8" s="176">
        <v>58.077090736253147</v>
      </c>
      <c r="AH8" s="175">
        <v>40.944934844970703</v>
      </c>
      <c r="AI8" s="178">
        <v>17.17707633972168</v>
      </c>
      <c r="AJ8" s="178">
        <v>69.860099792480469</v>
      </c>
      <c r="AK8" s="176">
        <v>22.309913000000002</v>
      </c>
      <c r="AL8" s="176"/>
      <c r="AM8" s="175">
        <v>92.993209838867202</v>
      </c>
      <c r="AN8" s="178">
        <v>86.461761474609403</v>
      </c>
      <c r="AO8" s="178">
        <v>96.501113891601605</v>
      </c>
      <c r="AP8" s="175">
        <v>24.521118314561498</v>
      </c>
      <c r="AQ8" s="178">
        <v>1.35988818802224</v>
      </c>
      <c r="AR8" s="178">
        <v>88.446803598304001</v>
      </c>
    </row>
    <row r="9" spans="1:44">
      <c r="A9" t="s">
        <v>242</v>
      </c>
      <c r="B9" t="s">
        <v>86</v>
      </c>
      <c r="C9">
        <v>2019</v>
      </c>
      <c r="D9" s="176">
        <v>98.681013322630847</v>
      </c>
      <c r="E9" s="175">
        <v>98.647193908691406</v>
      </c>
      <c r="F9" s="178">
        <v>97.979606628417969</v>
      </c>
      <c r="G9" s="178">
        <v>99.096229553222656</v>
      </c>
      <c r="H9" s="176">
        <v>97.542664572688437</v>
      </c>
      <c r="I9" s="175">
        <v>97.926101684570313</v>
      </c>
      <c r="J9" s="178">
        <v>97.079315185546875</v>
      </c>
      <c r="K9" s="178">
        <v>98.531097412109375</v>
      </c>
      <c r="L9" s="176">
        <v>80.844384264517544</v>
      </c>
      <c r="M9" s="175">
        <v>81.386474609375</v>
      </c>
      <c r="N9" s="178">
        <v>72.426445007324219</v>
      </c>
      <c r="O9" s="178">
        <v>87.920539855957031</v>
      </c>
      <c r="P9" s="176">
        <v>58.015695953745357</v>
      </c>
      <c r="Q9" s="175">
        <v>56.756938934326172</v>
      </c>
      <c r="R9" s="178">
        <v>46.606197357177734</v>
      </c>
      <c r="S9" s="178">
        <v>66.370368957519531</v>
      </c>
      <c r="T9" s="175">
        <v>13.650989999999998</v>
      </c>
      <c r="U9" s="178">
        <v>11.358699999999999</v>
      </c>
      <c r="V9" s="178">
        <v>16.320709999999998</v>
      </c>
      <c r="W9" s="175">
        <v>25.961400000000001</v>
      </c>
      <c r="X9" s="175">
        <v>4.7207039999999996</v>
      </c>
      <c r="Y9" s="175">
        <v>0.1157584</v>
      </c>
      <c r="Z9" s="175">
        <v>11.279730000000001</v>
      </c>
      <c r="AA9" s="175">
        <v>0.58043290000000003</v>
      </c>
      <c r="AB9" s="175">
        <v>1.44628E-2</v>
      </c>
      <c r="AC9" s="176">
        <v>52.698703369277958</v>
      </c>
      <c r="AD9" s="175">
        <v>56.374359130859375</v>
      </c>
      <c r="AE9" s="178">
        <v>50.337356567382813</v>
      </c>
      <c r="AF9" s="178">
        <v>62.228168487548828</v>
      </c>
      <c r="AG9" s="176">
        <v>8.7544073636040256</v>
      </c>
      <c r="AH9" s="175">
        <v>4.863825798034668</v>
      </c>
      <c r="AI9" s="178">
        <v>2.490431547164917</v>
      </c>
      <c r="AJ9" s="178">
        <v>9.2837276458740234</v>
      </c>
      <c r="AK9" s="176">
        <v>37.684883999999997</v>
      </c>
      <c r="AL9" s="176">
        <v>55.129331076791793</v>
      </c>
      <c r="AM9" s="175">
        <v>52.179706573486293</v>
      </c>
      <c r="AN9" s="178">
        <v>42.945766448974602</v>
      </c>
      <c r="AO9" s="178">
        <v>61.267044067382805</v>
      </c>
      <c r="AP9" s="175">
        <v>24.767979550491301</v>
      </c>
      <c r="AQ9" s="178">
        <v>20.871976325850699</v>
      </c>
      <c r="AR9" s="178">
        <v>29.123554755337899</v>
      </c>
    </row>
    <row r="10" spans="1:44">
      <c r="A10" t="s">
        <v>245</v>
      </c>
      <c r="B10" t="s">
        <v>89</v>
      </c>
      <c r="C10">
        <v>2019</v>
      </c>
      <c r="D10" s="176">
        <v>99.88156785890915</v>
      </c>
      <c r="E10" s="175">
        <v>99.868270874023438</v>
      </c>
      <c r="F10" s="178">
        <v>99.748565673828125</v>
      </c>
      <c r="G10" s="178">
        <v>99.931022644042969</v>
      </c>
      <c r="H10" s="176">
        <v>96.523210307255098</v>
      </c>
      <c r="I10" s="175">
        <v>98.455245971679688</v>
      </c>
      <c r="J10" s="178">
        <v>96.104545593261719</v>
      </c>
      <c r="K10" s="178">
        <v>99.396331787109375</v>
      </c>
      <c r="L10" s="176">
        <v>94.586591139457624</v>
      </c>
      <c r="M10" s="175">
        <v>95.219688415527344</v>
      </c>
      <c r="N10" s="178">
        <v>85.102104187011719</v>
      </c>
      <c r="O10" s="178">
        <v>98.580726623535156</v>
      </c>
      <c r="P10" s="176">
        <v>94.586591139457624</v>
      </c>
      <c r="Q10" s="175">
        <v>91.970130920410156</v>
      </c>
      <c r="R10" s="178">
        <v>85.700759887695313</v>
      </c>
      <c r="S10" s="178">
        <v>95.630889892578125</v>
      </c>
      <c r="T10" s="175">
        <v>83.099620000000002</v>
      </c>
      <c r="U10" s="178">
        <v>48.745660000000001</v>
      </c>
      <c r="V10" s="178">
        <v>96.215189999999993</v>
      </c>
      <c r="W10" s="175">
        <v>30.683779999999999</v>
      </c>
      <c r="X10" s="175">
        <v>2.3234370000000002</v>
      </c>
      <c r="Y10" s="175">
        <v>0</v>
      </c>
      <c r="Z10" s="175">
        <v>59.912599999999998</v>
      </c>
      <c r="AA10" s="175">
        <v>0.66099419999999998</v>
      </c>
      <c r="AB10" s="175">
        <v>0</v>
      </c>
      <c r="AC10" s="176">
        <v>97.885025236348</v>
      </c>
      <c r="AD10" s="175">
        <v>96.698593139648438</v>
      </c>
      <c r="AE10" s="178">
        <v>93.889984130859375</v>
      </c>
      <c r="AF10" s="178">
        <v>98.2403564453125</v>
      </c>
      <c r="AG10" s="176">
        <v>73.840603092146551</v>
      </c>
      <c r="AH10" s="175">
        <v>73.869186401367188</v>
      </c>
      <c r="AI10" s="178">
        <v>47.343017578125</v>
      </c>
      <c r="AJ10" s="178">
        <v>89.8870849609375</v>
      </c>
      <c r="AK10" s="176">
        <v>74.120215999999999</v>
      </c>
      <c r="AL10" s="176"/>
      <c r="AM10" s="175">
        <v>98.846229553222699</v>
      </c>
      <c r="AN10" s="178">
        <v>92.466621398925795</v>
      </c>
      <c r="AO10" s="178">
        <v>99.833045959472699</v>
      </c>
      <c r="AP10" s="175">
        <v>25.260516833130598</v>
      </c>
      <c r="AQ10" s="178">
        <v>1.2435585580395399</v>
      </c>
      <c r="AR10" s="178">
        <v>90.071082396692205</v>
      </c>
    </row>
    <row r="11" spans="1:44">
      <c r="A11" t="s">
        <v>246</v>
      </c>
      <c r="B11" t="s">
        <v>90</v>
      </c>
      <c r="C11">
        <v>2019</v>
      </c>
      <c r="D11" s="176">
        <v>99.650037357025553</v>
      </c>
      <c r="E11" s="175">
        <v>98.505821228027344</v>
      </c>
      <c r="F11" s="178">
        <v>96.417892456054688</v>
      </c>
      <c r="G11" s="178">
        <v>99.384513854980469</v>
      </c>
      <c r="H11" s="176">
        <v>98.400549453960522</v>
      </c>
      <c r="I11" s="175">
        <v>97.340530395507813</v>
      </c>
      <c r="J11" s="178">
        <v>95.425285339355469</v>
      </c>
      <c r="K11" s="178">
        <v>98.466827392578125</v>
      </c>
      <c r="L11" s="176">
        <v>96.967966671576903</v>
      </c>
      <c r="M11" s="175">
        <v>95.876518249511719</v>
      </c>
      <c r="N11" s="178">
        <v>90.630226135253906</v>
      </c>
      <c r="O11" s="178">
        <v>98.242294311523438</v>
      </c>
      <c r="P11" s="176"/>
      <c r="Q11" s="175">
        <v>64.028823852539063</v>
      </c>
      <c r="R11" s="178">
        <v>42.087486267089844</v>
      </c>
      <c r="S11" s="178">
        <v>81.342399597167969</v>
      </c>
      <c r="T11" s="175">
        <v>43.390749999999997</v>
      </c>
      <c r="U11" s="178">
        <v>14.612620000000001</v>
      </c>
      <c r="V11" s="178">
        <v>77.442370000000011</v>
      </c>
      <c r="W11" s="175">
        <v>9.0284619999999993</v>
      </c>
      <c r="X11" s="175">
        <v>9.1204730000000005</v>
      </c>
      <c r="Y11" s="175">
        <v>3.8592399999999999E-2</v>
      </c>
      <c r="Z11" s="175">
        <v>9.3194440000000007</v>
      </c>
      <c r="AA11" s="175">
        <v>7.7347419999999998</v>
      </c>
      <c r="AB11" s="175">
        <v>8.3681000000000005E-2</v>
      </c>
      <c r="AC11" s="176">
        <v>88.198503322004399</v>
      </c>
      <c r="AD11" s="175">
        <v>88.227935791015625</v>
      </c>
      <c r="AE11" s="178">
        <v>83.032211303710938</v>
      </c>
      <c r="AF11" s="178">
        <v>91.986221313476563</v>
      </c>
      <c r="AG11" s="176">
        <v>8.6338676435026542</v>
      </c>
      <c r="AH11" s="175">
        <v>9.8265438079833984</v>
      </c>
      <c r="AI11" s="178">
        <v>4.0620384216308594</v>
      </c>
      <c r="AJ11" s="178">
        <v>21.903841018676758</v>
      </c>
      <c r="AK11" s="176"/>
      <c r="AL11" s="176">
        <v>90.269993860807062</v>
      </c>
      <c r="AM11" s="175">
        <v>87.626663208007798</v>
      </c>
      <c r="AN11" s="178">
        <v>79.890022277832003</v>
      </c>
      <c r="AO11" s="178">
        <v>92.660339355468807</v>
      </c>
      <c r="AP11" s="175">
        <v>36.960321424038703</v>
      </c>
      <c r="AQ11" s="178">
        <v>30.226098620556503</v>
      </c>
      <c r="AR11" s="178">
        <v>44.243524929989903</v>
      </c>
    </row>
    <row r="12" spans="1:44">
      <c r="A12" t="s">
        <v>240</v>
      </c>
      <c r="B12" t="s">
        <v>84</v>
      </c>
      <c r="C12">
        <v>2019</v>
      </c>
      <c r="D12" s="176">
        <v>74.496944306812779</v>
      </c>
      <c r="E12" s="175">
        <v>77.320320129394531</v>
      </c>
      <c r="F12" s="178">
        <v>62.655059814453125</v>
      </c>
      <c r="G12" s="178">
        <v>87.386001586914063</v>
      </c>
      <c r="H12" s="176">
        <v>65.298502620111023</v>
      </c>
      <c r="I12" s="175">
        <v>67.803398132324219</v>
      </c>
      <c r="J12" s="178">
        <v>57.887313842773438</v>
      </c>
      <c r="K12" s="178">
        <v>76.338958740234375</v>
      </c>
      <c r="L12" s="176">
        <v>25.503790691650181</v>
      </c>
      <c r="M12" s="175">
        <v>30.889204025268555</v>
      </c>
      <c r="N12" s="178">
        <v>18.950412750244141</v>
      </c>
      <c r="O12" s="178">
        <v>46.073772430419922</v>
      </c>
      <c r="P12" s="176"/>
      <c r="Q12" s="175">
        <v>25.110239028930664</v>
      </c>
      <c r="R12" s="178">
        <v>14.16342830657959</v>
      </c>
      <c r="S12" s="178">
        <v>40.523456573486328</v>
      </c>
      <c r="T12" s="175">
        <v>5.5182000000000002</v>
      </c>
      <c r="U12" s="178">
        <v>1.3256999999999999</v>
      </c>
      <c r="V12" s="178">
        <v>20.248630000000002</v>
      </c>
      <c r="W12" s="175">
        <v>1.596241</v>
      </c>
      <c r="X12" s="175">
        <v>8.4467590000000001</v>
      </c>
      <c r="Y12" s="175">
        <v>3.5181900000000002E-2</v>
      </c>
      <c r="Z12" s="175">
        <v>0</v>
      </c>
      <c r="AA12" s="175">
        <v>2.6042770000000002</v>
      </c>
      <c r="AB12" s="175">
        <v>0</v>
      </c>
      <c r="AC12" s="176">
        <v>16.515265432657358</v>
      </c>
      <c r="AD12" s="175">
        <v>16.796543121337891</v>
      </c>
      <c r="AE12" s="178">
        <v>12.525291442871094</v>
      </c>
      <c r="AF12" s="178">
        <v>22.155424118041992</v>
      </c>
      <c r="AG12" s="176">
        <v>0.94953491575604176</v>
      </c>
      <c r="AH12" s="175">
        <v>0.18039421737194061</v>
      </c>
      <c r="AI12" s="178">
        <v>7.7529869973659515E-2</v>
      </c>
      <c r="AJ12" s="178">
        <v>0.41916355490684509</v>
      </c>
      <c r="AK12" s="176"/>
      <c r="AL12" s="176">
        <v>11.466156160699301</v>
      </c>
      <c r="AM12" s="175">
        <v>9.8174314498901403</v>
      </c>
      <c r="AN12" s="178">
        <v>6.9553160667419398</v>
      </c>
      <c r="AO12" s="178">
        <v>13.684093475341799</v>
      </c>
      <c r="AP12" s="175">
        <v>7.8226875944696408</v>
      </c>
      <c r="AQ12" s="178">
        <v>0.91302587734345808</v>
      </c>
      <c r="AR12" s="178">
        <v>43.871404910679402</v>
      </c>
    </row>
    <row r="13" spans="1:44">
      <c r="A13" t="s">
        <v>248</v>
      </c>
      <c r="B13" t="s">
        <v>93</v>
      </c>
      <c r="C13">
        <v>2019</v>
      </c>
      <c r="D13" s="176">
        <v>99.760036815976804</v>
      </c>
      <c r="E13" s="175">
        <v>99.528121948242188</v>
      </c>
      <c r="F13" s="178">
        <v>99.175689697265625</v>
      </c>
      <c r="G13" s="178">
        <v>99.73028564453125</v>
      </c>
      <c r="H13" s="176">
        <v>97.286121490527961</v>
      </c>
      <c r="I13" s="175">
        <v>97.712348937988281</v>
      </c>
      <c r="J13" s="178">
        <v>95.611869812011719</v>
      </c>
      <c r="K13" s="178">
        <v>98.819793701171875</v>
      </c>
      <c r="L13" s="176">
        <v>88.192251496092211</v>
      </c>
      <c r="M13" s="175">
        <v>89.509529113769531</v>
      </c>
      <c r="N13" s="178">
        <v>78.451515197753906</v>
      </c>
      <c r="O13" s="178">
        <v>95.237403869628906</v>
      </c>
      <c r="P13" s="176">
        <v>36.488477729395633</v>
      </c>
      <c r="Q13" s="175">
        <v>36.160427093505859</v>
      </c>
      <c r="R13" s="178">
        <v>24.420135498046875</v>
      </c>
      <c r="S13" s="178">
        <v>49.824153900146484</v>
      </c>
      <c r="T13" s="175">
        <v>13.698060000000002</v>
      </c>
      <c r="U13" s="178">
        <v>3.2930899999999999</v>
      </c>
      <c r="V13" s="178">
        <v>42.523070000000004</v>
      </c>
      <c r="W13" s="175">
        <v>64.944800000000001</v>
      </c>
      <c r="X13" s="175">
        <v>3.2396280000000002</v>
      </c>
      <c r="Y13" s="175">
        <v>0.1127722</v>
      </c>
      <c r="Z13" s="175">
        <v>78.830380000000005</v>
      </c>
      <c r="AA13" s="175">
        <v>0.94552329999999996</v>
      </c>
      <c r="AB13" s="175">
        <v>6.4334199999999994E-2</v>
      </c>
      <c r="AC13" s="176">
        <v>75.237854943736949</v>
      </c>
      <c r="AD13" s="175">
        <v>80.773155212402344</v>
      </c>
      <c r="AE13" s="178">
        <v>74.540313720703125</v>
      </c>
      <c r="AF13" s="178">
        <v>85.771392822265625</v>
      </c>
      <c r="AG13" s="176">
        <v>16.028657845521721</v>
      </c>
      <c r="AH13" s="175">
        <v>10.420845985412598</v>
      </c>
      <c r="AI13" s="178">
        <v>4.3430242538452148</v>
      </c>
      <c r="AJ13" s="178">
        <v>22.962471008300781</v>
      </c>
      <c r="AK13" s="176">
        <v>64.630026000000001</v>
      </c>
      <c r="AL13" s="176">
        <v>90.540917305789918</v>
      </c>
      <c r="AM13" s="175">
        <v>88.900588989257798</v>
      </c>
      <c r="AN13" s="178">
        <v>81.752494812011705</v>
      </c>
      <c r="AO13" s="178">
        <v>93.472145080566406</v>
      </c>
      <c r="AP13" s="175">
        <v>30.701045964172401</v>
      </c>
      <c r="AQ13" s="178">
        <v>24.836136559093401</v>
      </c>
      <c r="AR13" s="178">
        <v>37.264290354590599</v>
      </c>
    </row>
    <row r="14" spans="1:44">
      <c r="A14" t="s">
        <v>471</v>
      </c>
      <c r="B14" t="s">
        <v>91</v>
      </c>
      <c r="C14">
        <v>2019</v>
      </c>
      <c r="D14" s="176">
        <v>92.961861757839117</v>
      </c>
      <c r="E14" s="175">
        <v>92.813003540039063</v>
      </c>
      <c r="F14" s="178">
        <v>88.093986511230469</v>
      </c>
      <c r="G14" s="178">
        <v>95.751808166503906</v>
      </c>
      <c r="H14" s="176">
        <v>92.825975270462649</v>
      </c>
      <c r="I14" s="175">
        <v>92.813003540039063</v>
      </c>
      <c r="J14" s="178">
        <v>89.205596923828125</v>
      </c>
      <c r="K14" s="178">
        <v>97.161109924316406</v>
      </c>
      <c r="L14" s="176">
        <v>85.451833930098203</v>
      </c>
      <c r="M14" s="175">
        <v>88.800521850585938</v>
      </c>
      <c r="N14" s="178">
        <v>74.854042053222656</v>
      </c>
      <c r="O14" s="178">
        <v>95.479148864746094</v>
      </c>
      <c r="P14" s="176"/>
      <c r="Q14" s="175">
        <v>67.426460266113281</v>
      </c>
      <c r="R14" s="178">
        <v>54.254295349121094</v>
      </c>
      <c r="S14" s="178">
        <v>78.321311950683594</v>
      </c>
      <c r="T14" s="175">
        <v>46.608080000000001</v>
      </c>
      <c r="U14" s="178">
        <v>17.068010000000001</v>
      </c>
      <c r="V14" s="178">
        <v>78.735320000000002</v>
      </c>
      <c r="W14" s="175">
        <v>20.424140000000001</v>
      </c>
      <c r="X14" s="175">
        <v>16.941849999999999</v>
      </c>
      <c r="Y14" s="175">
        <v>4.7783300000000001E-2</v>
      </c>
      <c r="Z14" s="175">
        <v>21.13551</v>
      </c>
      <c r="AA14" s="175">
        <v>13.931950000000001</v>
      </c>
      <c r="AB14" s="175">
        <v>0.1508187</v>
      </c>
      <c r="AC14" s="176">
        <v>63.898306494251322</v>
      </c>
      <c r="AD14" s="175">
        <v>63.449050903320313</v>
      </c>
      <c r="AE14" s="178">
        <v>57.703231811523438</v>
      </c>
      <c r="AF14" s="178">
        <v>68.83587646484375</v>
      </c>
      <c r="AG14" s="176">
        <v>49.310829554063147</v>
      </c>
      <c r="AH14" s="175">
        <v>35.801795959472656</v>
      </c>
      <c r="AI14" s="178">
        <v>26.089468002319336</v>
      </c>
      <c r="AJ14" s="178">
        <v>46.838455200195313</v>
      </c>
      <c r="AK14" s="176">
        <v>51.425519999999999</v>
      </c>
      <c r="AL14" s="176">
        <v>26.911361352910699</v>
      </c>
      <c r="AM14" s="175">
        <v>30.969274520873995</v>
      </c>
      <c r="AN14" s="178">
        <v>23.767261505126999</v>
      </c>
      <c r="AO14" s="178">
        <v>39.230575561523402</v>
      </c>
      <c r="AP14" s="175">
        <v>25.8653429584698</v>
      </c>
      <c r="AQ14" s="178">
        <v>20.0490391793962</v>
      </c>
      <c r="AR14" s="178">
        <v>32.679295825161901</v>
      </c>
    </row>
    <row r="15" spans="1:44">
      <c r="A15" t="s">
        <v>244</v>
      </c>
      <c r="B15" t="s">
        <v>88</v>
      </c>
      <c r="C15">
        <v>2019</v>
      </c>
      <c r="D15" s="176">
        <v>99.938063413986427</v>
      </c>
      <c r="E15" s="175">
        <v>99.923667907714844</v>
      </c>
      <c r="F15" s="178">
        <v>99.768272399902344</v>
      </c>
      <c r="G15" s="178">
        <v>99.974884033203125</v>
      </c>
      <c r="H15" s="176">
        <v>96.123698888619671</v>
      </c>
      <c r="I15" s="175">
        <v>97.631790161132813</v>
      </c>
      <c r="J15" s="178">
        <v>95.20501708984375</v>
      </c>
      <c r="K15" s="178">
        <v>98.845252990722656</v>
      </c>
      <c r="L15" s="176">
        <v>90.743243143920367</v>
      </c>
      <c r="M15" s="175">
        <v>94.565643310546875</v>
      </c>
      <c r="N15" s="178">
        <v>84.963172912597656</v>
      </c>
      <c r="O15" s="178">
        <v>98.168212890625</v>
      </c>
      <c r="P15" s="176">
        <v>88.859783199622839</v>
      </c>
      <c r="Q15" s="175">
        <v>85.807502746582031</v>
      </c>
      <c r="R15" s="178">
        <v>66.537849426269531</v>
      </c>
      <c r="S15" s="178">
        <v>94.840858459472656</v>
      </c>
      <c r="T15" s="175">
        <v>62.858550000000001</v>
      </c>
      <c r="U15" s="178">
        <v>23.676739999999999</v>
      </c>
      <c r="V15" s="178">
        <v>90.227760000000004</v>
      </c>
      <c r="W15" s="175">
        <v>10.177720000000001</v>
      </c>
      <c r="X15" s="175">
        <v>5.3516690000000002</v>
      </c>
      <c r="Y15" s="175">
        <v>0</v>
      </c>
      <c r="Z15" s="175">
        <v>2.273387</v>
      </c>
      <c r="AA15" s="175">
        <v>2.4921060000000002</v>
      </c>
      <c r="AB15" s="175">
        <v>6.3459600000000005E-2</v>
      </c>
      <c r="AC15" s="176"/>
      <c r="AD15" s="175">
        <v>97.0335693359375</v>
      </c>
      <c r="AE15" s="178">
        <v>94.659652709960938</v>
      </c>
      <c r="AF15" s="178">
        <v>98.370391845703125</v>
      </c>
      <c r="AG15" s="176"/>
      <c r="AH15" s="175">
        <v>59.087795257568359</v>
      </c>
      <c r="AI15" s="178">
        <v>29.798416137695313</v>
      </c>
      <c r="AJ15" s="178">
        <v>83.091239929199219</v>
      </c>
      <c r="AK15" s="176"/>
      <c r="AL15" s="176"/>
      <c r="AM15" s="175">
        <v>98.618667602539105</v>
      </c>
      <c r="AN15" s="178">
        <v>97.088676452636705</v>
      </c>
      <c r="AO15" s="178">
        <v>99.349983215332003</v>
      </c>
      <c r="AP15" s="175">
        <v>25.2317694552933</v>
      </c>
      <c r="AQ15" s="178">
        <v>1.2479545250304001</v>
      </c>
      <c r="AR15" s="178">
        <v>90.011724093822195</v>
      </c>
    </row>
    <row r="16" spans="1:44">
      <c r="A16" t="s">
        <v>249</v>
      </c>
      <c r="B16" t="s">
        <v>94</v>
      </c>
      <c r="C16">
        <v>2019</v>
      </c>
      <c r="D16" s="176">
        <v>96.909368571023279</v>
      </c>
      <c r="E16" s="175">
        <v>97.70050048828125</v>
      </c>
      <c r="F16" s="178">
        <v>94.7696533203125</v>
      </c>
      <c r="G16" s="178">
        <v>99.006256103515625</v>
      </c>
      <c r="H16" s="176">
        <v>92.082565885485451</v>
      </c>
      <c r="I16" s="175">
        <v>89.300949096679688</v>
      </c>
      <c r="J16" s="178">
        <v>79.1746826171875</v>
      </c>
      <c r="K16" s="178">
        <v>94.825164794921875</v>
      </c>
      <c r="L16" s="176">
        <v>81.715817176697783</v>
      </c>
      <c r="M16" s="175">
        <v>80.307044982910156</v>
      </c>
      <c r="N16" s="178">
        <v>58.269290924072266</v>
      </c>
      <c r="O16" s="178">
        <v>92.253898620605469</v>
      </c>
      <c r="P16" s="176"/>
      <c r="Q16" s="175">
        <v>63.291961669921875</v>
      </c>
      <c r="R16" s="178">
        <v>42.372989654541016</v>
      </c>
      <c r="S16" s="178">
        <v>80.170822143554688</v>
      </c>
      <c r="T16" s="175">
        <v>52.293469999999999</v>
      </c>
      <c r="U16" s="178">
        <v>20.17783</v>
      </c>
      <c r="V16" s="178">
        <v>82.618440000000007</v>
      </c>
      <c r="W16" s="175">
        <v>7.0488580000000001</v>
      </c>
      <c r="X16" s="175">
        <v>10.912089999999999</v>
      </c>
      <c r="Y16" s="175">
        <v>5.15824E-2</v>
      </c>
      <c r="Z16" s="175">
        <v>7.8121090000000004</v>
      </c>
      <c r="AA16" s="175">
        <v>8.0335059999999991</v>
      </c>
      <c r="AB16" s="175">
        <v>1.45731E-2</v>
      </c>
      <c r="AC16" s="176">
        <v>79.751689822759189</v>
      </c>
      <c r="AD16" s="175">
        <v>75.918434143066406</v>
      </c>
      <c r="AE16" s="178">
        <v>65.272567749023438</v>
      </c>
      <c r="AF16" s="178">
        <v>84.095939636230469</v>
      </c>
      <c r="AG16" s="176">
        <v>1.392924047953962</v>
      </c>
      <c r="AH16" s="175">
        <v>1.8562395572662354</v>
      </c>
      <c r="AI16" s="178">
        <v>0.43020445108413696</v>
      </c>
      <c r="AJ16" s="178">
        <v>7.6462702751159668</v>
      </c>
      <c r="AK16" s="176"/>
      <c r="AL16" s="176"/>
      <c r="AM16" s="175">
        <v>65.717254638671903</v>
      </c>
      <c r="AN16" s="178">
        <v>25.459754943847702</v>
      </c>
      <c r="AO16" s="178">
        <v>91.495384216308594</v>
      </c>
      <c r="AP16" s="175">
        <v>11.764642506060801</v>
      </c>
      <c r="AQ16" s="178">
        <v>1.0253479801763501</v>
      </c>
      <c r="AR16" s="178">
        <v>63.181555298803403</v>
      </c>
    </row>
    <row r="17" spans="1:44">
      <c r="A17" t="s">
        <v>247</v>
      </c>
      <c r="B17" t="s">
        <v>92</v>
      </c>
      <c r="C17">
        <v>2019</v>
      </c>
      <c r="D17" s="176">
        <v>99.29620216907972</v>
      </c>
      <c r="E17" s="175">
        <v>99.162796020507813</v>
      </c>
      <c r="F17" s="178">
        <v>98.369140625</v>
      </c>
      <c r="G17" s="178">
        <v>99.5718994140625</v>
      </c>
      <c r="H17" s="176">
        <v>98.935544407984537</v>
      </c>
      <c r="I17" s="175">
        <v>98.561012268066406</v>
      </c>
      <c r="J17" s="178">
        <v>93.549949645996094</v>
      </c>
      <c r="K17" s="178">
        <v>99.691795349121094</v>
      </c>
      <c r="L17" s="176">
        <v>98.935544407984537</v>
      </c>
      <c r="M17" s="175">
        <v>98.153884887695313</v>
      </c>
      <c r="N17" s="178">
        <v>97.219406127929688</v>
      </c>
      <c r="O17" s="178">
        <v>98.77825927734375</v>
      </c>
      <c r="P17" s="176">
        <v>85.060082733081387</v>
      </c>
      <c r="Q17" s="175">
        <v>83.619682312011719</v>
      </c>
      <c r="R17" s="178">
        <v>72.219345092773438</v>
      </c>
      <c r="S17" s="178">
        <v>90.929267883300781</v>
      </c>
      <c r="T17" s="175">
        <v>73.432100000000005</v>
      </c>
      <c r="U17" s="178">
        <v>34.65748</v>
      </c>
      <c r="V17" s="178">
        <v>93.507800000000003</v>
      </c>
      <c r="W17" s="175">
        <v>19.444469999999999</v>
      </c>
      <c r="X17" s="175">
        <v>16.822949999999999</v>
      </c>
      <c r="Y17" s="175">
        <v>5.4338400000000002E-2</v>
      </c>
      <c r="Z17" s="175">
        <v>21.36543</v>
      </c>
      <c r="AA17" s="175">
        <v>13.31264</v>
      </c>
      <c r="AB17" s="175">
        <v>0.1450082</v>
      </c>
      <c r="AC17" s="176">
        <v>89.298796249205992</v>
      </c>
      <c r="AD17" s="175">
        <v>88.226036071777344</v>
      </c>
      <c r="AE17" s="178">
        <v>85.295318603515625</v>
      </c>
      <c r="AF17" s="178">
        <v>90.636764526367188</v>
      </c>
      <c r="AG17" s="176">
        <v>67.845811208478437</v>
      </c>
      <c r="AH17" s="175">
        <v>66.723556518554688</v>
      </c>
      <c r="AI17" s="178">
        <v>56.904716491699219</v>
      </c>
      <c r="AJ17" s="178">
        <v>75.277214050292969</v>
      </c>
      <c r="AK17" s="176">
        <v>47.849313000000002</v>
      </c>
      <c r="AL17" s="176"/>
      <c r="AM17" s="175">
        <v>84.629928588867202</v>
      </c>
      <c r="AN17" s="178">
        <v>44.442989349365199</v>
      </c>
      <c r="AO17" s="178">
        <v>97.429260253906193</v>
      </c>
      <c r="AP17" s="175">
        <v>36.373483469857796</v>
      </c>
      <c r="AQ17" s="178">
        <v>28.494939453332702</v>
      </c>
      <c r="AR17" s="178">
        <v>45.057720168047702</v>
      </c>
    </row>
    <row r="18" spans="1:44">
      <c r="A18" t="s">
        <v>243</v>
      </c>
      <c r="B18" t="s">
        <v>87</v>
      </c>
      <c r="C18">
        <v>2019</v>
      </c>
      <c r="D18" s="176">
        <v>99.046962334771422</v>
      </c>
      <c r="E18" s="175">
        <v>99.542839050292969</v>
      </c>
      <c r="F18" s="178">
        <v>94.664230346679688</v>
      </c>
      <c r="G18" s="178">
        <v>99.958251953125</v>
      </c>
      <c r="H18" s="176">
        <v>99.046962334771422</v>
      </c>
      <c r="I18" s="175">
        <v>99.542839050292969</v>
      </c>
      <c r="J18" s="178">
        <v>95.192955017089844</v>
      </c>
      <c r="K18" s="178">
        <v>99.958251953125</v>
      </c>
      <c r="L18" s="176">
        <v>98.415588220222617</v>
      </c>
      <c r="M18" s="175">
        <v>97.552597045898438</v>
      </c>
      <c r="N18" s="178">
        <v>93.470573425292969</v>
      </c>
      <c r="O18" s="178">
        <v>99.107025146484375</v>
      </c>
      <c r="P18" s="176">
        <v>97.543099289988476</v>
      </c>
      <c r="Q18" s="175">
        <v>91.09466552734375</v>
      </c>
      <c r="R18" s="178">
        <v>83.826225280761719</v>
      </c>
      <c r="S18" s="178">
        <v>95.280593872070313</v>
      </c>
      <c r="T18" s="175">
        <v>83.19959999999999</v>
      </c>
      <c r="U18" s="178">
        <v>49.133409999999998</v>
      </c>
      <c r="V18" s="178">
        <v>96.210650000000001</v>
      </c>
      <c r="W18" s="175">
        <v>26.197959999999998</v>
      </c>
      <c r="X18" s="175">
        <v>3.7092139999999998</v>
      </c>
      <c r="Y18" s="175">
        <v>0</v>
      </c>
      <c r="Z18" s="175">
        <v>23.129770000000001</v>
      </c>
      <c r="AA18" s="175">
        <v>1.340692</v>
      </c>
      <c r="AB18" s="175">
        <v>1.46427E-2</v>
      </c>
      <c r="AC18" s="176">
        <v>86.024592142354948</v>
      </c>
      <c r="AD18" s="175">
        <v>89.917709350585938</v>
      </c>
      <c r="AE18" s="178">
        <v>82.545135498046875</v>
      </c>
      <c r="AF18" s="178">
        <v>94.387977600097656</v>
      </c>
      <c r="AG18" s="176">
        <v>86.142512376172917</v>
      </c>
      <c r="AH18" s="175">
        <v>70.776992797851563</v>
      </c>
      <c r="AI18" s="178">
        <v>43.150318145751953</v>
      </c>
      <c r="AJ18" s="178">
        <v>88.542884826660156</v>
      </c>
      <c r="AK18" s="176">
        <v>70.412746999999996</v>
      </c>
      <c r="AL18" s="176"/>
      <c r="AM18" s="175">
        <v>98.843711853027301</v>
      </c>
      <c r="AN18" s="178">
        <v>92.801498413085895</v>
      </c>
      <c r="AO18" s="178">
        <v>99.823890686035199</v>
      </c>
      <c r="AP18" s="175">
        <v>25.260198777855702</v>
      </c>
      <c r="AQ18" s="178">
        <v>1.2436087333194199</v>
      </c>
      <c r="AR18" s="178">
        <v>90.070415682527198</v>
      </c>
    </row>
    <row r="19" spans="1:44">
      <c r="A19" t="s">
        <v>241</v>
      </c>
      <c r="B19" t="s">
        <v>85</v>
      </c>
      <c r="C19">
        <v>2019</v>
      </c>
      <c r="D19" s="176">
        <v>77.955563970524636</v>
      </c>
      <c r="E19" s="175">
        <v>78.60247802734375</v>
      </c>
      <c r="F19" s="178">
        <v>69.756233215332031</v>
      </c>
      <c r="G19" s="178">
        <v>85.402679443359375</v>
      </c>
      <c r="H19" s="176">
        <v>47.78959052926767</v>
      </c>
      <c r="I19" s="175">
        <v>50.478588104248047</v>
      </c>
      <c r="J19" s="178">
        <v>43.696369171142578</v>
      </c>
      <c r="K19" s="178">
        <v>57.243232727050781</v>
      </c>
      <c r="L19" s="176">
        <v>18.867663561620521</v>
      </c>
      <c r="M19" s="175">
        <v>17.767244338989258</v>
      </c>
      <c r="N19" s="178">
        <v>11.711862564086914</v>
      </c>
      <c r="O19" s="178">
        <v>26.030366897583008</v>
      </c>
      <c r="P19" s="176"/>
      <c r="Q19" s="175">
        <v>15.642973899841309</v>
      </c>
      <c r="R19" s="178">
        <v>10.428940773010254</v>
      </c>
      <c r="S19" s="178">
        <v>22.800251007080078</v>
      </c>
      <c r="T19" s="175">
        <v>3.3674900000000001</v>
      </c>
      <c r="U19" s="178">
        <v>0.55418000000000001</v>
      </c>
      <c r="V19" s="178">
        <v>17.89293</v>
      </c>
      <c r="W19" s="175">
        <v>3.4446099999999999</v>
      </c>
      <c r="X19" s="175">
        <v>5.0761859999999999</v>
      </c>
      <c r="Y19" s="175">
        <v>2.2037899999999999E-2</v>
      </c>
      <c r="Z19" s="175">
        <v>0.15054609999999999</v>
      </c>
      <c r="AA19" s="175">
        <v>2.9435539999999998</v>
      </c>
      <c r="AB19" s="175">
        <v>0</v>
      </c>
      <c r="AC19" s="176">
        <v>21.340596577030009</v>
      </c>
      <c r="AD19" s="175">
        <v>22.90589714050293</v>
      </c>
      <c r="AE19" s="178">
        <v>18.81834602355957</v>
      </c>
      <c r="AF19" s="178">
        <v>27.579679489135742</v>
      </c>
      <c r="AG19" s="176">
        <v>0.53259913170494744</v>
      </c>
      <c r="AH19" s="175">
        <v>0.19325418770313263</v>
      </c>
      <c r="AI19" s="178">
        <v>9.0291284024715424E-2</v>
      </c>
      <c r="AJ19" s="178">
        <v>0.41314461827278137</v>
      </c>
      <c r="AK19" s="176"/>
      <c r="AL19" s="176">
        <v>8.9809816411028454</v>
      </c>
      <c r="AM19" s="175">
        <v>13.3607683181763</v>
      </c>
      <c r="AN19" s="178">
        <v>8.5372371673584002</v>
      </c>
      <c r="AO19" s="178">
        <v>20.304582595825199</v>
      </c>
      <c r="AP19" s="175">
        <v>8.0725573324148208</v>
      </c>
      <c r="AQ19" s="178">
        <v>1.0303829581458901</v>
      </c>
      <c r="AR19" s="178">
        <v>42.551441520138901</v>
      </c>
    </row>
    <row r="20" spans="1:44">
      <c r="A20" t="s">
        <v>239</v>
      </c>
      <c r="B20" t="s">
        <v>83</v>
      </c>
      <c r="C20">
        <v>2019</v>
      </c>
      <c r="D20" s="176">
        <v>81.57921635166835</v>
      </c>
      <c r="E20" s="175">
        <v>82.424369812011719</v>
      </c>
      <c r="F20" s="178">
        <v>64.517135620117188</v>
      </c>
      <c r="G20" s="178">
        <v>92.363937377929688</v>
      </c>
      <c r="H20" s="176">
        <v>62.094320634550208</v>
      </c>
      <c r="I20" s="175">
        <v>64.870864868164063</v>
      </c>
      <c r="J20" s="178">
        <v>52.278339385986328</v>
      </c>
      <c r="K20" s="178">
        <v>75.685958862304688</v>
      </c>
      <c r="L20" s="176">
        <v>10.4321513613917</v>
      </c>
      <c r="M20" s="175">
        <v>10.415244102478027</v>
      </c>
      <c r="N20" s="178">
        <v>4.1613850593566895</v>
      </c>
      <c r="O20" s="178">
        <v>23.739557266235352</v>
      </c>
      <c r="P20" s="176"/>
      <c r="Q20" s="175">
        <v>8.832758903503418</v>
      </c>
      <c r="R20" s="178">
        <v>3.6203820705413818</v>
      </c>
      <c r="S20" s="178">
        <v>19.992847442626953</v>
      </c>
      <c r="T20" s="175">
        <v>1.0903799999999999</v>
      </c>
      <c r="U20" s="178">
        <v>0.12570999999999999</v>
      </c>
      <c r="V20" s="178">
        <v>8.8053699999999999</v>
      </c>
      <c r="W20" s="175">
        <v>6.7354070000000004</v>
      </c>
      <c r="X20" s="175">
        <v>2.9165290000000001</v>
      </c>
      <c r="Y20" s="175">
        <v>9.8251999999999992E-3</v>
      </c>
      <c r="Z20" s="175">
        <v>5.61104</v>
      </c>
      <c r="AA20" s="175">
        <v>1.5681639999999999</v>
      </c>
      <c r="AB20" s="175">
        <v>5.1773600000000003E-2</v>
      </c>
      <c r="AC20" s="176">
        <v>45.745275894088671</v>
      </c>
      <c r="AD20" s="175">
        <v>46.16766357421875</v>
      </c>
      <c r="AE20" s="178">
        <v>34.085464477539063</v>
      </c>
      <c r="AF20" s="178">
        <v>58.717491149902344</v>
      </c>
      <c r="AG20" s="176">
        <v>0.25346663396821367</v>
      </c>
      <c r="AH20" s="175">
        <v>0.35798174142837524</v>
      </c>
      <c r="AI20" s="178">
        <v>9.6939727663993835E-2</v>
      </c>
      <c r="AJ20" s="178">
        <v>1.3127286434173584</v>
      </c>
      <c r="AK20" s="176"/>
      <c r="AL20" s="176">
        <v>6.142880037045388</v>
      </c>
      <c r="AM20" s="175">
        <v>10.116101264953601</v>
      </c>
      <c r="AN20" s="178">
        <v>4.8941364288330096</v>
      </c>
      <c r="AO20" s="178">
        <v>19.7526149749756</v>
      </c>
      <c r="AP20" s="175">
        <v>7.8437492522222501</v>
      </c>
      <c r="AQ20" s="178">
        <v>0.92256285077590494</v>
      </c>
      <c r="AR20" s="178">
        <v>43.756861072740797</v>
      </c>
    </row>
    <row r="21" spans="1:44">
      <c r="A21" t="s">
        <v>257</v>
      </c>
      <c r="B21" t="s">
        <v>103</v>
      </c>
      <c r="C21">
        <v>2019</v>
      </c>
      <c r="D21" s="176">
        <v>96.573168170407271</v>
      </c>
      <c r="E21" s="175">
        <v>96.442398071289063</v>
      </c>
      <c r="F21" s="178">
        <v>93.605903625488281</v>
      </c>
      <c r="G21" s="178">
        <v>98.046844482421875</v>
      </c>
      <c r="H21" s="176">
        <v>88.214675308043553</v>
      </c>
      <c r="I21" s="175">
        <v>88.910072326660156</v>
      </c>
      <c r="J21" s="178">
        <v>52.221179962158203</v>
      </c>
      <c r="K21" s="178">
        <v>98.327972412109375</v>
      </c>
      <c r="L21" s="176">
        <v>87.00677239655765</v>
      </c>
      <c r="M21" s="175">
        <v>86.369461059570313</v>
      </c>
      <c r="N21" s="178">
        <v>80.472724914550781</v>
      </c>
      <c r="O21" s="178">
        <v>90.691505432128906</v>
      </c>
      <c r="P21" s="176"/>
      <c r="Q21" s="175">
        <v>36.505950927734375</v>
      </c>
      <c r="R21" s="178">
        <v>23.692520141601563</v>
      </c>
      <c r="S21" s="178">
        <v>51.566230773925781</v>
      </c>
      <c r="T21" s="175">
        <v>13.809150000000001</v>
      </c>
      <c r="U21" s="178">
        <v>3.7344900000000001</v>
      </c>
      <c r="V21" s="178">
        <v>39.82011</v>
      </c>
      <c r="W21" s="175">
        <v>7.1027659999999999</v>
      </c>
      <c r="X21" s="175">
        <v>10.664540000000001</v>
      </c>
      <c r="Y21" s="175">
        <v>4.8659000000000001E-2</v>
      </c>
      <c r="Z21" s="175">
        <v>7.645359</v>
      </c>
      <c r="AA21" s="175">
        <v>7.9013359999999997</v>
      </c>
      <c r="AB21" s="175">
        <v>1.3747199999999999E-2</v>
      </c>
      <c r="AC21" s="176">
        <v>77.474832330155408</v>
      </c>
      <c r="AD21" s="175">
        <v>76.587867736816406</v>
      </c>
      <c r="AE21" s="178">
        <v>72.276618957519531</v>
      </c>
      <c r="AF21" s="178">
        <v>80.410392761230469</v>
      </c>
      <c r="AG21" s="176">
        <v>26.848274459513512</v>
      </c>
      <c r="AH21" s="175">
        <v>22.115001678466797</v>
      </c>
      <c r="AI21" s="178">
        <v>15.210071563720703</v>
      </c>
      <c r="AJ21" s="178">
        <v>31.008213043212891</v>
      </c>
      <c r="AK21" s="176"/>
      <c r="AL21" s="176"/>
      <c r="AM21" s="175">
        <v>41.230426788330099</v>
      </c>
      <c r="AN21" s="178">
        <v>11.7800483703613</v>
      </c>
      <c r="AO21" s="178">
        <v>78.659645080566406</v>
      </c>
      <c r="AP21" s="175">
        <v>10.0378754823448</v>
      </c>
      <c r="AQ21" s="178">
        <v>1.3056129996177199</v>
      </c>
      <c r="AR21" s="178">
        <v>48.483188069742297</v>
      </c>
    </row>
    <row r="22" spans="1:44">
      <c r="A22" t="s">
        <v>290</v>
      </c>
      <c r="B22" t="s">
        <v>136</v>
      </c>
      <c r="C22">
        <v>2019</v>
      </c>
      <c r="D22" s="176">
        <v>83.580265029860485</v>
      </c>
      <c r="E22" s="175">
        <v>82.29827880859375</v>
      </c>
      <c r="F22" s="178">
        <v>75.063156127929688</v>
      </c>
      <c r="G22" s="178">
        <v>87.776069641113281</v>
      </c>
      <c r="H22" s="176">
        <v>70.790826516117534</v>
      </c>
      <c r="I22" s="175">
        <v>72.266624450683594</v>
      </c>
      <c r="J22" s="178">
        <v>64.766563415527344</v>
      </c>
      <c r="K22" s="178">
        <v>78.695335388183594</v>
      </c>
      <c r="L22" s="176">
        <v>48.385621057945748</v>
      </c>
      <c r="M22" s="175">
        <v>51.121788024902344</v>
      </c>
      <c r="N22" s="178">
        <v>35.961257934570313</v>
      </c>
      <c r="O22" s="178">
        <v>66.078720092773438</v>
      </c>
      <c r="P22" s="176">
        <v>27.198671985133331</v>
      </c>
      <c r="Q22" s="175">
        <v>26.43701171875</v>
      </c>
      <c r="R22" s="178">
        <v>18.876083374023438</v>
      </c>
      <c r="S22" s="178">
        <v>35.693962097167969</v>
      </c>
      <c r="T22" s="175">
        <v>7.8090200000000003</v>
      </c>
      <c r="U22" s="178">
        <v>1.37164</v>
      </c>
      <c r="V22" s="178">
        <v>34.033190000000005</v>
      </c>
      <c r="W22" s="175">
        <v>38.813290000000002</v>
      </c>
      <c r="X22" s="175">
        <v>3.1570279999999999</v>
      </c>
      <c r="Y22" s="175">
        <v>0.12541150000000001</v>
      </c>
      <c r="Z22" s="175">
        <v>37.621250000000003</v>
      </c>
      <c r="AA22" s="175">
        <v>1.2656240000000001</v>
      </c>
      <c r="AB22" s="175">
        <v>0.141567</v>
      </c>
      <c r="AC22" s="176">
        <v>65.609828041860823</v>
      </c>
      <c r="AD22" s="175">
        <v>63.346599578857422</v>
      </c>
      <c r="AE22" s="178">
        <v>56.898628234863281</v>
      </c>
      <c r="AF22" s="178">
        <v>69.349571228027344</v>
      </c>
      <c r="AG22" s="176">
        <v>15.97379820747477</v>
      </c>
      <c r="AH22" s="175">
        <v>10.636417388916016</v>
      </c>
      <c r="AI22" s="178">
        <v>4.7370615005493164</v>
      </c>
      <c r="AJ22" s="178">
        <v>22.172622680664063</v>
      </c>
      <c r="AK22" s="176">
        <v>92.388677000000001</v>
      </c>
      <c r="AL22" s="176">
        <v>72.595138592489334</v>
      </c>
      <c r="AM22" s="175">
        <v>75.675025939941406</v>
      </c>
      <c r="AN22" s="178">
        <v>63.689388275146499</v>
      </c>
      <c r="AO22" s="178">
        <v>84.657424926757798</v>
      </c>
      <c r="AP22" s="175">
        <v>15.816330790701299</v>
      </c>
      <c r="AQ22" s="178">
        <v>14.281931121363801</v>
      </c>
      <c r="AR22" s="178">
        <v>17.481960098618497</v>
      </c>
    </row>
    <row r="23" spans="1:44">
      <c r="A23" t="s">
        <v>252</v>
      </c>
      <c r="B23" t="s">
        <v>98</v>
      </c>
      <c r="C23">
        <v>2019</v>
      </c>
      <c r="D23" s="176">
        <v>77.928164715276793</v>
      </c>
      <c r="E23" s="175">
        <v>78.995567321777344</v>
      </c>
      <c r="F23" s="178">
        <v>61.968795776367188</v>
      </c>
      <c r="G23" s="178">
        <v>89.670082092285156</v>
      </c>
      <c r="H23" s="176">
        <v>65.386632809228232</v>
      </c>
      <c r="I23" s="175">
        <v>68.063468933105469</v>
      </c>
      <c r="J23" s="178">
        <v>57.09710693359375</v>
      </c>
      <c r="K23" s="178">
        <v>77.339225769042969</v>
      </c>
      <c r="L23" s="176">
        <v>33.104533804674219</v>
      </c>
      <c r="M23" s="175">
        <v>33.785636901855469</v>
      </c>
      <c r="N23" s="178">
        <v>21.265954971313477</v>
      </c>
      <c r="O23" s="178">
        <v>49.081226348876953</v>
      </c>
      <c r="P23" s="176"/>
      <c r="Q23" s="175">
        <v>29.295051574707031</v>
      </c>
      <c r="R23" s="178">
        <v>15.21894359588623</v>
      </c>
      <c r="S23" s="178">
        <v>48.883613586425781</v>
      </c>
      <c r="T23" s="175">
        <v>8.1248100000000001</v>
      </c>
      <c r="U23" s="178">
        <v>2.1023199999999997</v>
      </c>
      <c r="V23" s="178">
        <v>26.69528</v>
      </c>
      <c r="W23" s="175">
        <v>3.4317319999999998</v>
      </c>
      <c r="X23" s="175">
        <v>11.2174</v>
      </c>
      <c r="Y23" s="175">
        <v>4.1876400000000001E-2</v>
      </c>
      <c r="Z23" s="175">
        <v>4.3960189999999999</v>
      </c>
      <c r="AA23" s="175">
        <v>5.4993819999999998</v>
      </c>
      <c r="AB23" s="175">
        <v>0</v>
      </c>
      <c r="AC23" s="176">
        <v>44.218388661438603</v>
      </c>
      <c r="AD23" s="175">
        <v>46.141639709472656</v>
      </c>
      <c r="AE23" s="178">
        <v>38.280998229980469</v>
      </c>
      <c r="AF23" s="178">
        <v>54.198951721191406</v>
      </c>
      <c r="AG23" s="176">
        <v>1.0777392235632299</v>
      </c>
      <c r="AH23" s="175">
        <v>0.57561147212982178</v>
      </c>
      <c r="AI23" s="178">
        <v>0.28136333823204041</v>
      </c>
      <c r="AJ23" s="178">
        <v>1.1739592552185059</v>
      </c>
      <c r="AK23" s="176"/>
      <c r="AL23" s="176">
        <v>36.270629393982681</v>
      </c>
      <c r="AM23" s="175">
        <v>37.213417053222699</v>
      </c>
      <c r="AN23" s="178">
        <v>22.706682205200199</v>
      </c>
      <c r="AO23" s="178">
        <v>54.458236694335902</v>
      </c>
      <c r="AP23" s="175">
        <v>9.7546031864425604</v>
      </c>
      <c r="AQ23" s="178">
        <v>1.3526607217255</v>
      </c>
      <c r="AR23" s="178">
        <v>46.0058066902699</v>
      </c>
    </row>
    <row r="24" spans="1:44">
      <c r="A24" t="s">
        <v>250</v>
      </c>
      <c r="B24" t="s">
        <v>95</v>
      </c>
      <c r="C24">
        <v>2019</v>
      </c>
      <c r="D24" s="176">
        <v>63.020958826993812</v>
      </c>
      <c r="E24" s="175">
        <v>67.837081909179688</v>
      </c>
      <c r="F24" s="178">
        <v>46.985275268554688</v>
      </c>
      <c r="G24" s="178">
        <v>83.387252807617188</v>
      </c>
      <c r="H24" s="176">
        <v>38.212267201772868</v>
      </c>
      <c r="I24" s="175">
        <v>45.987396240234375</v>
      </c>
      <c r="J24" s="178">
        <v>34.379295349121094</v>
      </c>
      <c r="K24" s="178">
        <v>58.047821044921875</v>
      </c>
      <c r="L24" s="176">
        <v>6.283710955953115</v>
      </c>
      <c r="M24" s="175">
        <v>7.9998044967651367</v>
      </c>
      <c r="N24" s="178">
        <v>3.8350672721862793</v>
      </c>
      <c r="O24" s="178">
        <v>15.937721252441406</v>
      </c>
      <c r="P24" s="176">
        <v>6.283710955953115</v>
      </c>
      <c r="Q24" s="175">
        <v>6.5469355583190918</v>
      </c>
      <c r="R24" s="178">
        <v>2.859553337097168</v>
      </c>
      <c r="S24" s="178">
        <v>14.289724349975586</v>
      </c>
      <c r="T24" s="175">
        <v>0.70396999999999998</v>
      </c>
      <c r="U24" s="178">
        <v>0.31786999999999999</v>
      </c>
      <c r="V24" s="178">
        <v>1.5517100000000001</v>
      </c>
      <c r="W24" s="175">
        <v>2.190483</v>
      </c>
      <c r="X24" s="175">
        <v>6.5500189999999998</v>
      </c>
      <c r="Y24" s="175">
        <v>3.0704499999999999E-2</v>
      </c>
      <c r="Z24" s="175">
        <v>1.163978</v>
      </c>
      <c r="AA24" s="175">
        <v>5.449141</v>
      </c>
      <c r="AB24" s="175">
        <v>0</v>
      </c>
      <c r="AC24" s="176">
        <v>14.48198240231271</v>
      </c>
      <c r="AD24" s="175">
        <v>16.036979675292969</v>
      </c>
      <c r="AE24" s="178">
        <v>11.566984176635742</v>
      </c>
      <c r="AF24" s="178">
        <v>21.808385848999023</v>
      </c>
      <c r="AG24" s="176">
        <v>0.13122038385575069</v>
      </c>
      <c r="AH24" s="175">
        <v>9.1737434267997742E-2</v>
      </c>
      <c r="AI24" s="178">
        <v>3.4290798008441925E-2</v>
      </c>
      <c r="AJ24" s="178">
        <v>0.24518708884716034</v>
      </c>
      <c r="AK24" s="176">
        <v>13.946192</v>
      </c>
      <c r="AL24" s="176">
        <v>20.96387887138733</v>
      </c>
      <c r="AM24" s="175">
        <v>22.6301174163818</v>
      </c>
      <c r="AN24" s="178">
        <v>14.040998458862299</v>
      </c>
      <c r="AO24" s="178">
        <v>34.372386932372997</v>
      </c>
      <c r="AP24" s="175">
        <v>8.7262151459919011</v>
      </c>
      <c r="AQ24" s="178">
        <v>1.26299387224788</v>
      </c>
      <c r="AR24" s="178">
        <v>41.675982992555397</v>
      </c>
    </row>
    <row r="25" spans="1:44">
      <c r="A25" t="s">
        <v>341</v>
      </c>
      <c r="B25" t="s">
        <v>187</v>
      </c>
      <c r="C25">
        <v>2019</v>
      </c>
      <c r="D25" s="176">
        <v>60.309006469508176</v>
      </c>
      <c r="E25" s="175">
        <v>62.279872894287109</v>
      </c>
      <c r="F25" s="178">
        <v>43.186943054199219</v>
      </c>
      <c r="G25" s="178">
        <v>78.19586181640625</v>
      </c>
      <c r="H25" s="176">
        <v>45.822111213520778</v>
      </c>
      <c r="I25" s="175">
        <v>48.063446044921875</v>
      </c>
      <c r="J25" s="178">
        <v>37.585918426513672</v>
      </c>
      <c r="K25" s="178">
        <v>58.714115142822266</v>
      </c>
      <c r="L25" s="176">
        <v>9.0574698316653617</v>
      </c>
      <c r="M25" s="175">
        <v>11.073063850402832</v>
      </c>
      <c r="N25" s="178">
        <v>5.3718338012695313</v>
      </c>
      <c r="O25" s="178">
        <v>21.453325271606445</v>
      </c>
      <c r="P25" s="176">
        <v>5.5812096695152746</v>
      </c>
      <c r="Q25" s="175">
        <v>5.5245633125305176</v>
      </c>
      <c r="R25" s="178">
        <v>2.6216287612915039</v>
      </c>
      <c r="S25" s="178">
        <v>11.26990795135498</v>
      </c>
      <c r="T25" s="175">
        <v>2.359E-2</v>
      </c>
      <c r="U25" s="178">
        <v>1.128E-2</v>
      </c>
      <c r="V25" s="178">
        <v>4.9319999999999996E-2</v>
      </c>
      <c r="W25" s="175">
        <v>1.8442959999999999</v>
      </c>
      <c r="X25" s="175">
        <v>6.5776029999999999</v>
      </c>
      <c r="Y25" s="175">
        <v>1.7112100000000002E-2</v>
      </c>
      <c r="Z25" s="175">
        <v>0.1440883</v>
      </c>
      <c r="AA25" s="175">
        <v>6.6238460000000003</v>
      </c>
      <c r="AB25" s="175">
        <v>5.3574900000000002E-2</v>
      </c>
      <c r="AC25" s="176">
        <v>11.817080263734001</v>
      </c>
      <c r="AD25" s="175">
        <v>12.489442825317383</v>
      </c>
      <c r="AE25" s="178">
        <v>8.8868198394775391</v>
      </c>
      <c r="AF25" s="178">
        <v>17.275619506835938</v>
      </c>
      <c r="AG25" s="176">
        <v>0.53115851900303124</v>
      </c>
      <c r="AH25" s="175">
        <v>0.25917893648147583</v>
      </c>
      <c r="AI25" s="178">
        <v>8.2502715289592743E-2</v>
      </c>
      <c r="AJ25" s="178">
        <v>0.81112861633300781</v>
      </c>
      <c r="AK25" s="176">
        <v>25.360060000000001</v>
      </c>
      <c r="AL25" s="176">
        <v>24.431713207541961</v>
      </c>
      <c r="AM25" s="175">
        <v>20.683458328247099</v>
      </c>
      <c r="AN25" s="178">
        <v>12.725125312805199</v>
      </c>
      <c r="AO25" s="178">
        <v>31.805154800414996</v>
      </c>
      <c r="AP25" s="175">
        <v>8.58894025108299</v>
      </c>
      <c r="AQ25" s="178">
        <v>1.2251211152255901</v>
      </c>
      <c r="AR25" s="178">
        <v>41.581466765433603</v>
      </c>
    </row>
    <row r="26" spans="1:44">
      <c r="A26" t="s">
        <v>251</v>
      </c>
      <c r="B26" t="s">
        <v>96</v>
      </c>
      <c r="C26">
        <v>2019</v>
      </c>
      <c r="D26" s="176">
        <v>94.63768472634068</v>
      </c>
      <c r="E26" s="175">
        <v>95.163749694824219</v>
      </c>
      <c r="F26" s="178">
        <v>89.990676879882813</v>
      </c>
      <c r="G26" s="178">
        <v>97.730667114257813</v>
      </c>
      <c r="H26" s="176">
        <v>93.813267272436534</v>
      </c>
      <c r="I26" s="175">
        <v>92.338401794433594</v>
      </c>
      <c r="J26" s="178">
        <v>87.323158264160156</v>
      </c>
      <c r="K26" s="178">
        <v>95.472373962402344</v>
      </c>
      <c r="L26" s="176">
        <v>92.449212426368561</v>
      </c>
      <c r="M26" s="175">
        <v>92.338401794433594</v>
      </c>
      <c r="N26" s="178">
        <v>80.119682312011719</v>
      </c>
      <c r="O26" s="178">
        <v>98.201148986816406</v>
      </c>
      <c r="P26" s="176"/>
      <c r="Q26" s="175">
        <v>70.105476379394531</v>
      </c>
      <c r="R26" s="178">
        <v>51.725696563720703</v>
      </c>
      <c r="S26" s="178">
        <v>83.6934814453125</v>
      </c>
      <c r="T26" s="175">
        <v>61.912330000000004</v>
      </c>
      <c r="U26" s="178">
        <v>26.752350000000003</v>
      </c>
      <c r="V26" s="178">
        <v>87.856189999999998</v>
      </c>
      <c r="W26" s="175">
        <v>39.177529999999997</v>
      </c>
      <c r="X26" s="175">
        <v>2.8396469999999998</v>
      </c>
      <c r="Y26" s="175">
        <v>9.9501800000000001E-2</v>
      </c>
      <c r="Z26" s="175">
        <v>39.355370000000001</v>
      </c>
      <c r="AA26" s="175">
        <v>1.292157</v>
      </c>
      <c r="AB26" s="175">
        <v>0.12185269999999999</v>
      </c>
      <c r="AC26" s="176">
        <v>90.851383439390844</v>
      </c>
      <c r="AD26" s="175">
        <v>85.386749267578125</v>
      </c>
      <c r="AE26" s="178">
        <v>80.127204895019531</v>
      </c>
      <c r="AF26" s="178">
        <v>89.437789916992188</v>
      </c>
      <c r="AG26" s="176">
        <v>65.643516297405242</v>
      </c>
      <c r="AH26" s="175">
        <v>56.986270904541016</v>
      </c>
      <c r="AI26" s="178">
        <v>31.888835906982422</v>
      </c>
      <c r="AJ26" s="178">
        <v>78.942573547363281</v>
      </c>
      <c r="AK26" s="176">
        <v>68.036057999999997</v>
      </c>
      <c r="AL26" s="176"/>
      <c r="AM26" s="175">
        <v>93.769607543945298</v>
      </c>
      <c r="AN26" s="178">
        <v>74.237953186035199</v>
      </c>
      <c r="AO26" s="178">
        <v>98.743789672851605</v>
      </c>
      <c r="AP26" s="175">
        <v>17.435151677154501</v>
      </c>
      <c r="AQ26" s="178">
        <v>15.781026213937299</v>
      </c>
      <c r="AR26" s="178">
        <v>19.223083761158101</v>
      </c>
    </row>
    <row r="27" spans="1:44">
      <c r="A27" t="s">
        <v>255</v>
      </c>
      <c r="B27" t="s">
        <v>101</v>
      </c>
      <c r="C27">
        <v>2019</v>
      </c>
      <c r="D27" s="176">
        <v>97.504013818224522</v>
      </c>
      <c r="E27" s="175">
        <v>97.387519836425781</v>
      </c>
      <c r="F27" s="178">
        <v>95.714828491210938</v>
      </c>
      <c r="G27" s="178">
        <v>98.418075561523438</v>
      </c>
      <c r="H27" s="176">
        <v>97.316829876287073</v>
      </c>
      <c r="I27" s="175">
        <v>96.082183837890625</v>
      </c>
      <c r="J27" s="178">
        <v>91.800155639648438</v>
      </c>
      <c r="K27" s="178">
        <v>98.172615051269531</v>
      </c>
      <c r="L27" s="176">
        <v>96.015957704545542</v>
      </c>
      <c r="M27" s="175">
        <v>95.445625305175781</v>
      </c>
      <c r="N27" s="178">
        <v>88.866622924804688</v>
      </c>
      <c r="O27" s="178">
        <v>98.215011596679688</v>
      </c>
      <c r="P27" s="176">
        <v>72.951859469538221</v>
      </c>
      <c r="Q27" s="175">
        <v>72.783042907714844</v>
      </c>
      <c r="R27" s="178">
        <v>61.572860717773438</v>
      </c>
      <c r="S27" s="178">
        <v>81.695144653320313</v>
      </c>
      <c r="T27" s="175">
        <v>57.365390000000005</v>
      </c>
      <c r="U27" s="178">
        <v>22.238510000000002</v>
      </c>
      <c r="V27" s="178">
        <v>86.358270000000005</v>
      </c>
      <c r="W27" s="175">
        <v>19.773119999999999</v>
      </c>
      <c r="X27" s="175">
        <v>16.862839999999998</v>
      </c>
      <c r="Y27" s="175">
        <v>5.2139400000000002E-2</v>
      </c>
      <c r="Z27" s="175">
        <v>21.2883</v>
      </c>
      <c r="AA27" s="175">
        <v>13.5204</v>
      </c>
      <c r="AB27" s="175">
        <v>0.14695739999999999</v>
      </c>
      <c r="AC27" s="176">
        <v>92.754235581431629</v>
      </c>
      <c r="AD27" s="175">
        <v>91.867744445800781</v>
      </c>
      <c r="AE27" s="178">
        <v>90.529739379882813</v>
      </c>
      <c r="AF27" s="178">
        <v>93.031257629394531</v>
      </c>
      <c r="AG27" s="176">
        <v>77.681755821047844</v>
      </c>
      <c r="AH27" s="175">
        <v>73.8763427734375</v>
      </c>
      <c r="AI27" s="178">
        <v>68.119621276855469</v>
      </c>
      <c r="AJ27" s="178">
        <v>78.915313720703125</v>
      </c>
      <c r="AK27" s="176"/>
      <c r="AL27" s="176">
        <v>67.88385857921736</v>
      </c>
      <c r="AM27" s="175">
        <v>71.020103454589801</v>
      </c>
      <c r="AN27" s="178">
        <v>60.28301239013669</v>
      </c>
      <c r="AO27" s="178">
        <v>79.825927734375</v>
      </c>
      <c r="AP27" s="175">
        <v>33.7083285750778</v>
      </c>
      <c r="AQ27" s="178">
        <v>27.676339876126598</v>
      </c>
      <c r="AR27" s="178">
        <v>40.322024110401998</v>
      </c>
    </row>
    <row r="28" spans="1:44">
      <c r="A28" t="s">
        <v>256</v>
      </c>
      <c r="B28" t="s">
        <v>102</v>
      </c>
      <c r="C28">
        <v>2019</v>
      </c>
      <c r="D28" s="176">
        <v>91.070909112310531</v>
      </c>
      <c r="E28" s="175">
        <v>91.76275634765625</v>
      </c>
      <c r="F28" s="178">
        <v>78.984657287597656</v>
      </c>
      <c r="G28" s="178">
        <v>97.060455322265625</v>
      </c>
      <c r="H28" s="176">
        <v>80.210497806626591</v>
      </c>
      <c r="I28" s="175">
        <v>85.907066345214844</v>
      </c>
      <c r="J28" s="178">
        <v>73.637992858886719</v>
      </c>
      <c r="K28" s="178">
        <v>93.008193969726563</v>
      </c>
      <c r="L28" s="176">
        <v>65.442080594148678</v>
      </c>
      <c r="M28" s="175">
        <v>73.012786865234375</v>
      </c>
      <c r="N28" s="178">
        <v>41.126144409179688</v>
      </c>
      <c r="O28" s="178">
        <v>91.287826538085938</v>
      </c>
      <c r="P28" s="176"/>
      <c r="Q28" s="175">
        <v>23.613735198974609</v>
      </c>
      <c r="R28" s="178">
        <v>9.4446401596069336</v>
      </c>
      <c r="S28" s="178">
        <v>47.815525054931641</v>
      </c>
      <c r="T28" s="175">
        <v>5.7485300000000006</v>
      </c>
      <c r="U28" s="178">
        <v>1.0917100000000002</v>
      </c>
      <c r="V28" s="178">
        <v>25.20712</v>
      </c>
      <c r="W28" s="175">
        <v>18.804580000000001</v>
      </c>
      <c r="X28" s="175">
        <v>5.6036140000000003</v>
      </c>
      <c r="Y28" s="175">
        <v>2.1437999999999999E-2</v>
      </c>
      <c r="Z28" s="175">
        <v>18.383430000000001</v>
      </c>
      <c r="AA28" s="175">
        <v>3.6165319999999999</v>
      </c>
      <c r="AB28" s="175">
        <v>0</v>
      </c>
      <c r="AC28" s="176">
        <v>35.906674180174832</v>
      </c>
      <c r="AD28" s="175">
        <v>35.342117309570313</v>
      </c>
      <c r="AE28" s="178">
        <v>21.460186004638672</v>
      </c>
      <c r="AF28" s="178">
        <v>52.231945037841797</v>
      </c>
      <c r="AG28" s="176">
        <v>5.3000414539363492</v>
      </c>
      <c r="AH28" s="175">
        <v>3.0389938354492188</v>
      </c>
      <c r="AI28" s="178">
        <v>0.70551848411560059</v>
      </c>
      <c r="AJ28" s="178">
        <v>12.146257400512695</v>
      </c>
      <c r="AK28" s="176">
        <v>18.166574000000001</v>
      </c>
      <c r="AL28" s="176"/>
      <c r="AM28" s="175">
        <v>27.132720947265597</v>
      </c>
      <c r="AN28" s="178">
        <v>13.7764739990234</v>
      </c>
      <c r="AO28" s="178">
        <v>46.460479736328097</v>
      </c>
      <c r="AP28" s="175">
        <v>9.0437306423034691</v>
      </c>
      <c r="AQ28" s="178">
        <v>1.3225453210045099</v>
      </c>
      <c r="AR28" s="178">
        <v>42.450279468930802</v>
      </c>
    </row>
    <row r="29" spans="1:44">
      <c r="A29" t="s">
        <v>254</v>
      </c>
      <c r="B29" t="s">
        <v>100</v>
      </c>
      <c r="C29">
        <v>2019</v>
      </c>
      <c r="D29" s="176">
        <v>84.058196717285966</v>
      </c>
      <c r="E29" s="175">
        <v>85.539169311523438</v>
      </c>
      <c r="F29" s="178">
        <v>65.2823486328125</v>
      </c>
      <c r="G29" s="178">
        <v>94.9000244140625</v>
      </c>
      <c r="H29" s="176">
        <v>73.595873157143885</v>
      </c>
      <c r="I29" s="175">
        <v>76.065597534179688</v>
      </c>
      <c r="J29" s="178">
        <v>62.314052581787109</v>
      </c>
      <c r="K29" s="178">
        <v>85.932060241699219</v>
      </c>
      <c r="L29" s="176">
        <v>52.833759094209128</v>
      </c>
      <c r="M29" s="175">
        <v>54.694301605224609</v>
      </c>
      <c r="N29" s="178">
        <v>33.600105285644531</v>
      </c>
      <c r="O29" s="178">
        <v>74.227363586425781</v>
      </c>
      <c r="P29" s="176">
        <v>45.716467598230821</v>
      </c>
      <c r="Q29" s="175">
        <v>48.279529571533203</v>
      </c>
      <c r="R29" s="178">
        <v>22.883462905883789</v>
      </c>
      <c r="S29" s="178">
        <v>74.596588134765625</v>
      </c>
      <c r="T29" s="175">
        <v>14.804329999999998</v>
      </c>
      <c r="U29" s="178">
        <v>8.5935100000000002</v>
      </c>
      <c r="V29" s="178">
        <v>24.310109999999998</v>
      </c>
      <c r="W29" s="175">
        <v>3.0272100000000002</v>
      </c>
      <c r="X29" s="175">
        <v>11.62701</v>
      </c>
      <c r="Y29" s="175">
        <v>4.9524899999999997E-2</v>
      </c>
      <c r="Z29" s="175">
        <v>3.0156290000000001</v>
      </c>
      <c r="AA29" s="175">
        <v>5.3843500000000004</v>
      </c>
      <c r="AB29" s="175">
        <v>1.2420499999999999E-2</v>
      </c>
      <c r="AC29" s="176">
        <v>20.3642641505642</v>
      </c>
      <c r="AD29" s="175">
        <v>22.065826416015625</v>
      </c>
      <c r="AE29" s="178">
        <v>15.434603691101074</v>
      </c>
      <c r="AF29" s="178">
        <v>30.517900466918945</v>
      </c>
      <c r="AG29" s="176">
        <v>1.285030777360411</v>
      </c>
      <c r="AH29" s="175">
        <v>0.6473730206489563</v>
      </c>
      <c r="AI29" s="178">
        <v>0.21528168022632599</v>
      </c>
      <c r="AJ29" s="178">
        <v>1.9299407005310059</v>
      </c>
      <c r="AK29" s="176"/>
      <c r="AL29" s="176">
        <v>48.185782106906068</v>
      </c>
      <c r="AM29" s="175">
        <v>50.441745758056598</v>
      </c>
      <c r="AN29" s="178">
        <v>33.300228118896499</v>
      </c>
      <c r="AO29" s="178">
        <v>67.480041503906193</v>
      </c>
      <c r="AP29" s="175">
        <v>10.687441115715799</v>
      </c>
      <c r="AQ29" s="178">
        <v>1.23755288654644</v>
      </c>
      <c r="AR29" s="178">
        <v>53.330956884965296</v>
      </c>
    </row>
    <row r="30" spans="1:44">
      <c r="A30" t="s">
        <v>258</v>
      </c>
      <c r="B30" t="s">
        <v>104</v>
      </c>
      <c r="C30">
        <v>2019</v>
      </c>
      <c r="D30" s="176">
        <v>99.99999879079904</v>
      </c>
      <c r="E30" s="175">
        <v>99.888778686523438</v>
      </c>
      <c r="F30" s="178">
        <v>99.803466796875</v>
      </c>
      <c r="G30" s="178">
        <v>99.937080383300781</v>
      </c>
      <c r="H30" s="176">
        <v>99.797527305109227</v>
      </c>
      <c r="I30" s="175">
        <v>99.503524780273438</v>
      </c>
      <c r="J30" s="178">
        <v>99.001983642578125</v>
      </c>
      <c r="K30" s="178">
        <v>99.753646850585938</v>
      </c>
      <c r="L30" s="176">
        <v>99.308188410898836</v>
      </c>
      <c r="M30" s="175">
        <v>99.253471374511719</v>
      </c>
      <c r="N30" s="178">
        <v>98.265739440917969</v>
      </c>
      <c r="O30" s="178">
        <v>99.68048095703125</v>
      </c>
      <c r="P30" s="176">
        <v>80.520682355478129</v>
      </c>
      <c r="Q30" s="175">
        <v>80.19464111328125</v>
      </c>
      <c r="R30" s="178">
        <v>69.600494384765625</v>
      </c>
      <c r="S30" s="178">
        <v>87.746742248535156</v>
      </c>
      <c r="T30" s="175">
        <v>65.877260000000007</v>
      </c>
      <c r="U30" s="178">
        <v>28.094190000000001</v>
      </c>
      <c r="V30" s="178">
        <v>90.511989999999997</v>
      </c>
      <c r="W30" s="175">
        <v>19.832180000000001</v>
      </c>
      <c r="X30" s="175">
        <v>16.870010000000001</v>
      </c>
      <c r="Y30" s="175">
        <v>5.1744199999999997E-2</v>
      </c>
      <c r="Z30" s="175">
        <v>21.274439999999998</v>
      </c>
      <c r="AA30" s="175">
        <v>13.557740000000001</v>
      </c>
      <c r="AB30" s="175">
        <v>0.14730779999999999</v>
      </c>
      <c r="AC30" s="176">
        <v>97.753788677330149</v>
      </c>
      <c r="AD30" s="175">
        <v>97.721466064453125</v>
      </c>
      <c r="AE30" s="178">
        <v>97.193115234375</v>
      </c>
      <c r="AF30" s="178">
        <v>98.152252197265625</v>
      </c>
      <c r="AG30" s="176">
        <v>21.65134802369349</v>
      </c>
      <c r="AH30" s="175">
        <v>22.945541381835938</v>
      </c>
      <c r="AI30" s="178">
        <v>17.276399612426758</v>
      </c>
      <c r="AJ30" s="178">
        <v>29.804721832275391</v>
      </c>
      <c r="AK30" s="176"/>
      <c r="AL30" s="176">
        <v>85.67551598801019</v>
      </c>
      <c r="AM30" s="175">
        <v>87.090255737304702</v>
      </c>
      <c r="AN30" s="178">
        <v>79.047737121582003</v>
      </c>
      <c r="AO30" s="178">
        <v>92.344627380371094</v>
      </c>
      <c r="AP30" s="175">
        <v>36.855279001962302</v>
      </c>
      <c r="AQ30" s="178">
        <v>30.146308529806799</v>
      </c>
      <c r="AR30" s="178">
        <v>44.114404111514297</v>
      </c>
    </row>
    <row r="31" spans="1:44">
      <c r="A31" s="315" t="s">
        <v>474</v>
      </c>
      <c r="B31" t="s">
        <v>97</v>
      </c>
      <c r="C31">
        <v>2019</v>
      </c>
      <c r="D31" s="176">
        <v>79.844790837335708</v>
      </c>
      <c r="E31" s="175">
        <v>81.572799682617188</v>
      </c>
      <c r="F31" s="178">
        <v>70.122734069824219</v>
      </c>
      <c r="G31" s="178">
        <v>89.304100036621094</v>
      </c>
      <c r="H31" s="176">
        <v>70.9427310972752</v>
      </c>
      <c r="I31" s="175">
        <v>74.677894592285156</v>
      </c>
      <c r="J31" s="178">
        <v>66.851905822753906</v>
      </c>
      <c r="K31" s="178">
        <v>81.176475524902344</v>
      </c>
      <c r="L31" s="176">
        <v>44.66409640999975</v>
      </c>
      <c r="M31" s="175">
        <v>47.223663330078125</v>
      </c>
      <c r="N31" s="178">
        <v>33.213607788085938</v>
      </c>
      <c r="O31" s="178">
        <v>61.685108184814453</v>
      </c>
      <c r="P31" s="176">
        <v>35.13922043739867</v>
      </c>
      <c r="Q31" s="175">
        <v>35.716781616210938</v>
      </c>
      <c r="R31" s="178">
        <v>22.755010604858398</v>
      </c>
      <c r="S31" s="178">
        <v>51.170806884765625</v>
      </c>
      <c r="T31" s="175">
        <v>15.93727</v>
      </c>
      <c r="U31" s="178">
        <v>10.847329999999999</v>
      </c>
      <c r="V31" s="178">
        <v>22.804659999999998</v>
      </c>
      <c r="W31" s="175">
        <v>2.6528209999999999</v>
      </c>
      <c r="X31" s="175">
        <v>12.063370000000001</v>
      </c>
      <c r="Y31" s="175">
        <v>3.76651E-2</v>
      </c>
      <c r="Z31" s="175">
        <v>8.5391499999999995E-2</v>
      </c>
      <c r="AA31" s="175">
        <v>5.9061859999999999</v>
      </c>
      <c r="AB31" s="175">
        <v>1.6156400000000001E-2</v>
      </c>
      <c r="AC31" s="176">
        <v>33.869065034418497</v>
      </c>
      <c r="AD31" s="175">
        <v>34.542984008789063</v>
      </c>
      <c r="AE31" s="178">
        <v>28.138175964355469</v>
      </c>
      <c r="AF31" s="178">
        <v>41.562473297119141</v>
      </c>
      <c r="AG31" s="176">
        <v>6.7083321547457562</v>
      </c>
      <c r="AH31" s="175">
        <v>3.0590896606445313</v>
      </c>
      <c r="AI31" s="178">
        <v>1.5329650640487671</v>
      </c>
      <c r="AJ31" s="178">
        <v>6.0117678642272949</v>
      </c>
      <c r="AK31" s="176"/>
      <c r="AL31" s="176">
        <v>20.947483054336171</v>
      </c>
      <c r="AM31" s="175">
        <v>23.405555725097699</v>
      </c>
      <c r="AN31" s="178">
        <v>16.211235046386701</v>
      </c>
      <c r="AO31" s="178">
        <v>32.552223205566399</v>
      </c>
      <c r="AP31" s="175">
        <v>8.7808976597335811</v>
      </c>
      <c r="AQ31" s="178">
        <v>1.2773233180741699</v>
      </c>
      <c r="AR31" s="178">
        <v>41.731061435335199</v>
      </c>
    </row>
    <row r="32" spans="1:44">
      <c r="A32" t="s">
        <v>259</v>
      </c>
      <c r="B32" t="s">
        <v>105</v>
      </c>
      <c r="C32">
        <v>2019</v>
      </c>
      <c r="D32" s="176">
        <v>98.30446785347867</v>
      </c>
      <c r="E32" s="175">
        <v>98.331649780273438</v>
      </c>
      <c r="F32" s="178">
        <v>95.383995056152344</v>
      </c>
      <c r="G32" s="178">
        <v>99.408683776855469</v>
      </c>
      <c r="H32" s="176">
        <v>96.776133230495162</v>
      </c>
      <c r="I32" s="175">
        <v>96.812797546386719</v>
      </c>
      <c r="J32" s="178">
        <v>94.457405090332031</v>
      </c>
      <c r="K32" s="178">
        <v>98.186454772949219</v>
      </c>
      <c r="L32" s="176">
        <v>92.727652047888455</v>
      </c>
      <c r="M32" s="175">
        <v>92.362495422363281</v>
      </c>
      <c r="N32" s="178">
        <v>85.710723876953125</v>
      </c>
      <c r="O32" s="178">
        <v>96.060150146484375</v>
      </c>
      <c r="P32" s="176"/>
      <c r="Q32" s="175">
        <v>72.349784851074219</v>
      </c>
      <c r="R32" s="178">
        <v>47.845039367675781</v>
      </c>
      <c r="S32" s="178">
        <v>88.184402465820313</v>
      </c>
      <c r="T32" s="175">
        <v>57.427680000000002</v>
      </c>
      <c r="U32" s="178">
        <v>22.760100000000001</v>
      </c>
      <c r="V32" s="178">
        <v>86.063230000000004</v>
      </c>
      <c r="W32" s="175">
        <v>17.452110000000001</v>
      </c>
      <c r="X32" s="175">
        <v>15.63429</v>
      </c>
      <c r="Y32" s="175">
        <v>5.0603500000000003E-2</v>
      </c>
      <c r="Z32" s="175">
        <v>30.90991</v>
      </c>
      <c r="AA32" s="175">
        <v>14.73343</v>
      </c>
      <c r="AB32" s="175">
        <v>1.3161900000000001E-2</v>
      </c>
      <c r="AC32" s="176">
        <v>91.144217794327872</v>
      </c>
      <c r="AD32" s="175">
        <v>91.17901611328125</v>
      </c>
      <c r="AE32" s="178">
        <v>87.864395141601563</v>
      </c>
      <c r="AF32" s="178">
        <v>93.653701782226563</v>
      </c>
      <c r="AG32" s="176">
        <v>59.616175854735722</v>
      </c>
      <c r="AH32" s="175">
        <v>53.857921600341797</v>
      </c>
      <c r="AI32" s="178">
        <v>38.313087463378906</v>
      </c>
      <c r="AJ32" s="178">
        <v>68.687042236328125</v>
      </c>
      <c r="AK32" s="176">
        <v>30.333223</v>
      </c>
      <c r="AL32" s="176">
        <v>91.032002598380572</v>
      </c>
      <c r="AM32" s="175">
        <v>89.165084838867202</v>
      </c>
      <c r="AN32" s="178">
        <v>82.305046081542997</v>
      </c>
      <c r="AO32" s="178">
        <v>93.573272705078097</v>
      </c>
      <c r="AP32" s="175">
        <v>37.261584070638996</v>
      </c>
      <c r="AQ32" s="178">
        <v>30.450583386471902</v>
      </c>
      <c r="AR32" s="178">
        <v>44.618679328470499</v>
      </c>
    </row>
    <row r="33" spans="1:44">
      <c r="A33" t="s">
        <v>324</v>
      </c>
      <c r="B33" t="s">
        <v>170</v>
      </c>
      <c r="C33">
        <v>2019</v>
      </c>
      <c r="D33" s="176">
        <v>94.50552562649726</v>
      </c>
      <c r="E33" s="175">
        <v>94.080841064453125</v>
      </c>
      <c r="F33" s="178">
        <v>84.152297973632813</v>
      </c>
      <c r="G33" s="178">
        <v>97.94134521484375</v>
      </c>
      <c r="H33" s="176">
        <v>93.823687992292832</v>
      </c>
      <c r="I33" s="175">
        <v>93.708221435546875</v>
      </c>
      <c r="J33" s="178">
        <v>87.5419921875</v>
      </c>
      <c r="K33" s="178">
        <v>96.929458618164063</v>
      </c>
      <c r="L33" s="176">
        <v>74.409591087340146</v>
      </c>
      <c r="M33" s="175">
        <v>76.1395263671875</v>
      </c>
      <c r="N33" s="178">
        <v>55.208629608154297</v>
      </c>
      <c r="O33" s="178">
        <v>89.202407836914063</v>
      </c>
      <c r="P33" s="176">
        <v>66.311410458505506</v>
      </c>
      <c r="Q33" s="175">
        <v>66.130195617675781</v>
      </c>
      <c r="R33" s="178">
        <v>39.478206634521484</v>
      </c>
      <c r="S33" s="178">
        <v>85.389190673828125</v>
      </c>
      <c r="T33" s="175">
        <v>45.25271</v>
      </c>
      <c r="U33" s="178">
        <v>16.322600000000001</v>
      </c>
      <c r="V33" s="178">
        <v>77.790289999999999</v>
      </c>
      <c r="W33" s="175">
        <v>39.195749999999997</v>
      </c>
      <c r="X33" s="175">
        <v>2.8237700000000001</v>
      </c>
      <c r="Y33" s="175">
        <v>9.8205700000000007E-2</v>
      </c>
      <c r="Z33" s="175">
        <v>39.442120000000003</v>
      </c>
      <c r="AA33" s="175">
        <v>1.2934840000000001</v>
      </c>
      <c r="AB33" s="175">
        <v>0.1208665</v>
      </c>
      <c r="AC33" s="176">
        <v>84.619492554906302</v>
      </c>
      <c r="AD33" s="175">
        <v>84.327262878417969</v>
      </c>
      <c r="AE33" s="178">
        <v>78.029914855957031</v>
      </c>
      <c r="AF33" s="178">
        <v>89.072364807128906</v>
      </c>
      <c r="AG33" s="176">
        <v>41.989766024052827</v>
      </c>
      <c r="AH33" s="175">
        <v>47.982200622558594</v>
      </c>
      <c r="AI33" s="178">
        <v>27.25335693359375</v>
      </c>
      <c r="AJ33" s="178">
        <v>69.429885864257813</v>
      </c>
      <c r="AK33" s="176">
        <v>59.450346000000003</v>
      </c>
      <c r="AL33" s="176"/>
      <c r="AM33" s="175">
        <v>66.714645385742202</v>
      </c>
      <c r="AN33" s="178">
        <v>27.525718688964801</v>
      </c>
      <c r="AO33" s="178">
        <v>91.362525939941406</v>
      </c>
      <c r="AP33" s="175">
        <v>27.116418684265099</v>
      </c>
      <c r="AQ33" s="178">
        <v>20.204716171324499</v>
      </c>
      <c r="AR33" s="178">
        <v>35.345202712800599</v>
      </c>
    </row>
    <row r="34" spans="1:44">
      <c r="A34" t="s">
        <v>253</v>
      </c>
      <c r="B34" t="s">
        <v>99</v>
      </c>
      <c r="C34">
        <v>2019</v>
      </c>
      <c r="D34" s="176">
        <v>58.590230404610942</v>
      </c>
      <c r="E34" s="175">
        <v>60.809581756591797</v>
      </c>
      <c r="F34" s="178">
        <v>41.693130493164063</v>
      </c>
      <c r="G34" s="178">
        <v>77.100837707519531</v>
      </c>
      <c r="H34" s="176">
        <v>45.296175889494407</v>
      </c>
      <c r="I34" s="175">
        <v>46.920619964599609</v>
      </c>
      <c r="J34" s="178">
        <v>36.013694763183594</v>
      </c>
      <c r="K34" s="178">
        <v>58.129875183105469</v>
      </c>
      <c r="L34" s="176">
        <v>18.4275135353558</v>
      </c>
      <c r="M34" s="175">
        <v>19.014556884765625</v>
      </c>
      <c r="N34" s="178">
        <v>10.464997291564941</v>
      </c>
      <c r="O34" s="178">
        <v>32.048675537109375</v>
      </c>
      <c r="P34" s="176">
        <v>18.4275135353558</v>
      </c>
      <c r="Q34" s="175">
        <v>18.674911499023438</v>
      </c>
      <c r="R34" s="178">
        <v>9.5697469711303711</v>
      </c>
      <c r="S34" s="178">
        <v>33.257205963134766</v>
      </c>
      <c r="T34" s="175">
        <v>3.5629300000000002</v>
      </c>
      <c r="U34" s="178">
        <v>0.46537999999999996</v>
      </c>
      <c r="V34" s="178">
        <v>22.596800000000002</v>
      </c>
      <c r="W34" s="175">
        <v>1.683281</v>
      </c>
      <c r="X34" s="175">
        <v>4.6169200000000004</v>
      </c>
      <c r="Y34" s="175">
        <v>3.3112700000000002E-2</v>
      </c>
      <c r="Z34" s="175">
        <v>2.332967</v>
      </c>
      <c r="AA34" s="175">
        <v>3.7740049999999998</v>
      </c>
      <c r="AB34" s="175">
        <v>0</v>
      </c>
      <c r="AC34" s="176">
        <v>15.77493074492452</v>
      </c>
      <c r="AD34" s="175">
        <v>18.115631103515625</v>
      </c>
      <c r="AE34" s="178">
        <v>13.426145553588867</v>
      </c>
      <c r="AF34" s="178">
        <v>23.989191055297852</v>
      </c>
      <c r="AG34" s="176">
        <v>0.39617694260798703</v>
      </c>
      <c r="AH34" s="175">
        <v>0.31359097361564636</v>
      </c>
      <c r="AI34" s="178">
        <v>0.12702365219593048</v>
      </c>
      <c r="AJ34" s="178">
        <v>0.77206301689147949</v>
      </c>
      <c r="AK34" s="176">
        <v>13.151334</v>
      </c>
      <c r="AL34" s="176">
        <v>19.084077354080112</v>
      </c>
      <c r="AM34" s="175">
        <v>19.4234294891357</v>
      </c>
      <c r="AN34" s="178">
        <v>10.3555583953857</v>
      </c>
      <c r="AO34" s="178">
        <v>33.467227935791001</v>
      </c>
      <c r="AP34" s="175">
        <v>8.50008528540077</v>
      </c>
      <c r="AQ34" s="178">
        <v>1.19606766698847</v>
      </c>
      <c r="AR34" s="178">
        <v>41.619198937533803</v>
      </c>
    </row>
    <row r="35" spans="1:44">
      <c r="A35" t="s">
        <v>260</v>
      </c>
      <c r="B35" t="s">
        <v>106</v>
      </c>
      <c r="C35">
        <v>2019</v>
      </c>
      <c r="D35" s="176">
        <v>90.748150965668486</v>
      </c>
      <c r="E35" s="175">
        <v>91.371437072753906</v>
      </c>
      <c r="F35" s="178">
        <v>78.541580200195313</v>
      </c>
      <c r="G35" s="178">
        <v>96.839111328125</v>
      </c>
      <c r="H35" s="176">
        <v>75.995745786492265</v>
      </c>
      <c r="I35" s="175">
        <v>82.918296813964844</v>
      </c>
      <c r="J35" s="178">
        <v>58.497341156005859</v>
      </c>
      <c r="K35" s="178">
        <v>94.355949401855469</v>
      </c>
      <c r="L35" s="176">
        <v>46.313269438172242</v>
      </c>
      <c r="M35" s="175">
        <v>58.148895263671875</v>
      </c>
      <c r="N35" s="178">
        <v>20.240837097167969</v>
      </c>
      <c r="O35" s="178">
        <v>88.381736755371094</v>
      </c>
      <c r="P35" s="176"/>
      <c r="Q35" s="175">
        <v>38.254219055175781</v>
      </c>
      <c r="R35" s="178">
        <v>17.637317657470703</v>
      </c>
      <c r="S35" s="178">
        <v>64.188888549804688</v>
      </c>
      <c r="T35" s="175">
        <v>15.02017</v>
      </c>
      <c r="U35" s="178">
        <v>3.8405900000000002</v>
      </c>
      <c r="V35" s="178">
        <v>43.889220000000002</v>
      </c>
      <c r="W35" s="175">
        <v>1.774939</v>
      </c>
      <c r="X35" s="175">
        <v>6.556686</v>
      </c>
      <c r="Y35" s="175">
        <v>5.7274199999999997E-2</v>
      </c>
      <c r="Z35" s="175">
        <v>0</v>
      </c>
      <c r="AA35" s="175">
        <v>3.5637050000000001</v>
      </c>
      <c r="AB35" s="175">
        <v>0</v>
      </c>
      <c r="AC35" s="176">
        <v>66.638239090226023</v>
      </c>
      <c r="AD35" s="175">
        <v>65.670196533203125</v>
      </c>
      <c r="AE35" s="178">
        <v>54.236202239990234</v>
      </c>
      <c r="AF35" s="178">
        <v>75.5360107421875</v>
      </c>
      <c r="AG35" s="176">
        <v>5.1423899604018812</v>
      </c>
      <c r="AH35" s="175">
        <v>4.6327567100524902</v>
      </c>
      <c r="AI35" s="178">
        <v>0.96780967712402344</v>
      </c>
      <c r="AJ35" s="178">
        <v>19.450460433959961</v>
      </c>
      <c r="AK35" s="176">
        <v>36.751348</v>
      </c>
      <c r="AL35" s="176"/>
      <c r="AM35" s="175">
        <v>43.558353424072301</v>
      </c>
      <c r="AN35" s="178">
        <v>11.561734199523899</v>
      </c>
      <c r="AO35" s="178">
        <v>82.000663757324205</v>
      </c>
      <c r="AP35" s="175">
        <v>18.276126603850201</v>
      </c>
      <c r="AQ35" s="178">
        <v>2.14612270751861</v>
      </c>
      <c r="AR35" s="178">
        <v>69.515077688961895</v>
      </c>
    </row>
    <row r="36" spans="1:44">
      <c r="A36" t="s">
        <v>261</v>
      </c>
      <c r="B36" t="s">
        <v>107</v>
      </c>
      <c r="C36">
        <v>2019</v>
      </c>
      <c r="D36" s="176">
        <v>97.092118215821614</v>
      </c>
      <c r="E36" s="175">
        <v>97.810371398925781</v>
      </c>
      <c r="F36" s="178">
        <v>95.613441467285156</v>
      </c>
      <c r="G36" s="178">
        <v>98.919441223144531</v>
      </c>
      <c r="H36" s="176">
        <v>96.617492888594427</v>
      </c>
      <c r="I36" s="175">
        <v>97.810371398925781</v>
      </c>
      <c r="J36" s="178">
        <v>95.884361267089844</v>
      </c>
      <c r="K36" s="178">
        <v>98.962745666503906</v>
      </c>
      <c r="L36" s="176">
        <v>94.707173042225577</v>
      </c>
      <c r="M36" s="175">
        <v>95.58929443359375</v>
      </c>
      <c r="N36" s="178">
        <v>90.270439147949219</v>
      </c>
      <c r="O36" s="178">
        <v>98.062889099121094</v>
      </c>
      <c r="P36" s="176"/>
      <c r="Q36" s="175">
        <v>73.319358825683594</v>
      </c>
      <c r="R36" s="178">
        <v>57.281749725341797</v>
      </c>
      <c r="S36" s="178">
        <v>84.920982360839844</v>
      </c>
      <c r="T36" s="175">
        <v>27.514880000000002</v>
      </c>
      <c r="U36" s="178">
        <v>23.16968</v>
      </c>
      <c r="V36" s="178">
        <v>32.332039999999999</v>
      </c>
      <c r="W36" s="175">
        <v>8.5456830000000004</v>
      </c>
      <c r="X36" s="175">
        <v>23.86544</v>
      </c>
      <c r="Y36" s="175">
        <v>5.2417699999999998E-2</v>
      </c>
      <c r="Z36" s="175">
        <v>4.5645480000000003</v>
      </c>
      <c r="AA36" s="175">
        <v>15.035740000000001</v>
      </c>
      <c r="AB36" s="175">
        <v>0.1467107</v>
      </c>
      <c r="AC36" s="176">
        <v>86.72522396887247</v>
      </c>
      <c r="AD36" s="175">
        <v>87.474479675292969</v>
      </c>
      <c r="AE36" s="178">
        <v>84.521400451660156</v>
      </c>
      <c r="AF36" s="178">
        <v>89.9312744140625</v>
      </c>
      <c r="AG36" s="176">
        <v>16.894506187317401</v>
      </c>
      <c r="AH36" s="175">
        <v>18.250837326049805</v>
      </c>
      <c r="AI36" s="178">
        <v>10.002077102661133</v>
      </c>
      <c r="AJ36" s="178">
        <v>30.962026596069336</v>
      </c>
      <c r="AK36" s="176"/>
      <c r="AL36" s="176">
        <v>46.781638141332778</v>
      </c>
      <c r="AM36" s="175">
        <v>56.932575225830092</v>
      </c>
      <c r="AN36" s="178">
        <v>42.436668395996101</v>
      </c>
      <c r="AO36" s="178">
        <v>70.330261230468807</v>
      </c>
      <c r="AP36" s="175">
        <v>30.949627089658399</v>
      </c>
      <c r="AQ36" s="178">
        <v>24.990183910831302</v>
      </c>
      <c r="AR36" s="178">
        <v>37.617515049336902</v>
      </c>
    </row>
    <row r="37" spans="1:44">
      <c r="A37" t="s">
        <v>263</v>
      </c>
      <c r="B37" t="s">
        <v>109</v>
      </c>
      <c r="C37">
        <v>2019</v>
      </c>
      <c r="D37" s="176">
        <v>95.047326704066592</v>
      </c>
      <c r="E37" s="175">
        <v>94.831977844238281</v>
      </c>
      <c r="F37" s="178">
        <v>90.908462524414063</v>
      </c>
      <c r="G37" s="178">
        <v>97.115989685058594</v>
      </c>
      <c r="H37" s="176">
        <v>95.011222975808778</v>
      </c>
      <c r="I37" s="175">
        <v>94.831977844238281</v>
      </c>
      <c r="J37" s="178">
        <v>93.505874633789063</v>
      </c>
      <c r="K37" s="178">
        <v>97.310310363769531</v>
      </c>
      <c r="L37" s="176">
        <v>94.329286820442832</v>
      </c>
      <c r="M37" s="175">
        <v>94.831977844238281</v>
      </c>
      <c r="N37" s="178">
        <v>91.369316101074219</v>
      </c>
      <c r="O37" s="178">
        <v>97.280158996582031</v>
      </c>
      <c r="P37" s="176">
        <v>66.609855643490064</v>
      </c>
      <c r="Q37" s="175">
        <v>66.177162170410156</v>
      </c>
      <c r="R37" s="178">
        <v>51.601737976074219</v>
      </c>
      <c r="S37" s="178">
        <v>78.216140747070313</v>
      </c>
      <c r="T37" s="175">
        <v>56.257959999999997</v>
      </c>
      <c r="U37" s="178">
        <v>45.137749999999997</v>
      </c>
      <c r="V37" s="178">
        <v>66.782910000000001</v>
      </c>
      <c r="W37" s="175">
        <v>20.756640000000001</v>
      </c>
      <c r="X37" s="175">
        <v>16.982199999999999</v>
      </c>
      <c r="Y37" s="175">
        <v>4.5558500000000002E-2</v>
      </c>
      <c r="Z37" s="175">
        <v>21.057480000000002</v>
      </c>
      <c r="AA37" s="175">
        <v>14.142150000000001</v>
      </c>
      <c r="AB37" s="175">
        <v>0.1527907</v>
      </c>
      <c r="AC37" s="176">
        <v>90.597218845599699</v>
      </c>
      <c r="AD37" s="175">
        <v>89.2027587890625</v>
      </c>
      <c r="AE37" s="178">
        <v>86.437690734863281</v>
      </c>
      <c r="AF37" s="178">
        <v>91.459785461425781</v>
      </c>
      <c r="AG37" s="176">
        <v>65.188976061450205</v>
      </c>
      <c r="AH37" s="175">
        <v>54.526073455810547</v>
      </c>
      <c r="AI37" s="178">
        <v>40.608844757080078</v>
      </c>
      <c r="AJ37" s="178">
        <v>67.770378112792969</v>
      </c>
      <c r="AK37" s="176">
        <v>17.839062999999999</v>
      </c>
      <c r="AL37" s="176">
        <v>87.150640788212741</v>
      </c>
      <c r="AM37" s="175">
        <v>88.096961975097699</v>
      </c>
      <c r="AN37" s="178">
        <v>82.569252014160199</v>
      </c>
      <c r="AO37" s="178">
        <v>92.040679931640597</v>
      </c>
      <c r="AP37" s="175">
        <v>37.0524180563431</v>
      </c>
      <c r="AQ37" s="178">
        <v>30.3311832832464</v>
      </c>
      <c r="AR37" s="178">
        <v>44.315656764757001</v>
      </c>
    </row>
    <row r="38" spans="1:44">
      <c r="A38" t="s">
        <v>264</v>
      </c>
      <c r="B38" t="s">
        <v>110</v>
      </c>
      <c r="C38">
        <v>2019</v>
      </c>
      <c r="D38" s="176">
        <v>99.6207906489241</v>
      </c>
      <c r="E38" s="175">
        <v>99.901260375976563</v>
      </c>
      <c r="F38" s="178">
        <v>99.832954406738281</v>
      </c>
      <c r="G38" s="178">
        <v>99.941650390625</v>
      </c>
      <c r="H38" s="176">
        <v>99.383240978001012</v>
      </c>
      <c r="I38" s="175">
        <v>99.827415466308594</v>
      </c>
      <c r="J38" s="178">
        <v>99.713409423828125</v>
      </c>
      <c r="K38" s="178">
        <v>99.8961181640625</v>
      </c>
      <c r="L38" s="176">
        <v>98.266853383939107</v>
      </c>
      <c r="M38" s="175">
        <v>98.593276977539063</v>
      </c>
      <c r="N38" s="178">
        <v>96.93634033203125</v>
      </c>
      <c r="O38" s="178">
        <v>99.360000610351563</v>
      </c>
      <c r="P38" s="176"/>
      <c r="Q38" s="175">
        <v>75.090278625488281</v>
      </c>
      <c r="R38" s="178">
        <v>64.037353515625</v>
      </c>
      <c r="S38" s="178">
        <v>83.615318298339844</v>
      </c>
      <c r="T38" s="175">
        <v>53.9253</v>
      </c>
      <c r="U38" s="178">
        <v>19.558809999999998</v>
      </c>
      <c r="V38" s="178">
        <v>84.925530000000009</v>
      </c>
      <c r="W38" s="175">
        <v>7.6284720000000004</v>
      </c>
      <c r="X38" s="175">
        <v>3.6719219999999999</v>
      </c>
      <c r="Y38" s="175">
        <v>3.1410199999999999E-2</v>
      </c>
      <c r="Z38" s="175">
        <v>5.5486009999999997</v>
      </c>
      <c r="AA38" s="175">
        <v>1.8690739999999999</v>
      </c>
      <c r="AB38" s="175">
        <v>0</v>
      </c>
      <c r="AC38" s="176">
        <v>97.01897183473011</v>
      </c>
      <c r="AD38" s="175">
        <v>96.048683166503906</v>
      </c>
      <c r="AE38" s="178">
        <v>94.860572814941406</v>
      </c>
      <c r="AF38" s="178">
        <v>96.970901489257813</v>
      </c>
      <c r="AG38" s="176">
        <v>72.790818926141938</v>
      </c>
      <c r="AH38" s="175">
        <v>60.267860412597656</v>
      </c>
      <c r="AI38" s="178">
        <v>42.304733276367188</v>
      </c>
      <c r="AJ38" s="178">
        <v>75.833145141601563</v>
      </c>
      <c r="AK38" s="176">
        <v>41.698987000000002</v>
      </c>
      <c r="AL38" s="176">
        <v>89.828239840610692</v>
      </c>
      <c r="AM38" s="175">
        <v>86.835746765136705</v>
      </c>
      <c r="AN38" s="178">
        <v>79.444953918457003</v>
      </c>
      <c r="AO38" s="178">
        <v>91.841987609863295</v>
      </c>
      <c r="AP38" s="175">
        <v>23.7432601666222</v>
      </c>
      <c r="AQ38" s="178">
        <v>1.3494060645416002</v>
      </c>
      <c r="AR38" s="178">
        <v>87.634945374200996</v>
      </c>
    </row>
    <row r="39" spans="1:44">
      <c r="A39" t="s">
        <v>333</v>
      </c>
      <c r="B39" t="s">
        <v>179</v>
      </c>
      <c r="C39">
        <v>2019</v>
      </c>
      <c r="D39" s="176">
        <v>97.993341624332999</v>
      </c>
      <c r="E39" s="175">
        <v>97.665451049804688</v>
      </c>
      <c r="F39" s="178">
        <v>95.692276000976563</v>
      </c>
      <c r="G39" s="178">
        <v>98.74664306640625</v>
      </c>
      <c r="H39" s="176">
        <v>97.781603673705661</v>
      </c>
      <c r="I39" s="175">
        <v>96.164955139160156</v>
      </c>
      <c r="J39" s="178">
        <v>91.848701477050781</v>
      </c>
      <c r="K39" s="178">
        <v>98.239486694335938</v>
      </c>
      <c r="L39" s="176">
        <v>92.003553766581533</v>
      </c>
      <c r="M39" s="175">
        <v>92.111503601074219</v>
      </c>
      <c r="N39" s="178">
        <v>80.841163635253906</v>
      </c>
      <c r="O39" s="178">
        <v>96.998161315917969</v>
      </c>
      <c r="P39" s="176"/>
      <c r="Q39" s="175">
        <v>69.698524475097656</v>
      </c>
      <c r="R39" s="178">
        <v>54.982940673828125</v>
      </c>
      <c r="S39" s="178">
        <v>81.244621276855469</v>
      </c>
      <c r="T39" s="175">
        <v>48.753550000000004</v>
      </c>
      <c r="U39" s="178">
        <v>18.097339999999999</v>
      </c>
      <c r="V39" s="178">
        <v>80.377069999999989</v>
      </c>
      <c r="W39" s="175">
        <v>11.354050000000001</v>
      </c>
      <c r="X39" s="175">
        <v>17.478249999999999</v>
      </c>
      <c r="Y39" s="175">
        <v>4.8926200000000003E-2</v>
      </c>
      <c r="Z39" s="175">
        <v>16.345269999999999</v>
      </c>
      <c r="AA39" s="175">
        <v>10.793609999999999</v>
      </c>
      <c r="AB39" s="175">
        <v>0.87574799999999997</v>
      </c>
      <c r="AC39" s="176">
        <v>82.659231399367428</v>
      </c>
      <c r="AD39" s="175">
        <v>83.873725891113281</v>
      </c>
      <c r="AE39" s="178">
        <v>80.871864318847656</v>
      </c>
      <c r="AF39" s="178">
        <v>86.483230590820313</v>
      </c>
      <c r="AG39" s="176">
        <v>42.197843858468097</v>
      </c>
      <c r="AH39" s="175">
        <v>37.111602783203125</v>
      </c>
      <c r="AI39" s="178">
        <v>28.563547134399414</v>
      </c>
      <c r="AJ39" s="178">
        <v>46.550811767578125</v>
      </c>
      <c r="AK39" s="176">
        <v>23.764268999999999</v>
      </c>
      <c r="AL39" s="176"/>
      <c r="AM39" s="175">
        <v>88.548309326171903</v>
      </c>
      <c r="AN39" s="178">
        <v>78.622108459472699</v>
      </c>
      <c r="AO39" s="178">
        <v>94.205261230468807</v>
      </c>
      <c r="AP39" s="175">
        <v>37.140803512445096</v>
      </c>
      <c r="AQ39" s="178">
        <v>30.305391923565299</v>
      </c>
      <c r="AR39" s="178">
        <v>44.532825933032797</v>
      </c>
    </row>
    <row r="40" spans="1:44">
      <c r="A40" t="s">
        <v>275</v>
      </c>
      <c r="B40" t="s">
        <v>121</v>
      </c>
      <c r="C40">
        <v>2019</v>
      </c>
      <c r="D40" s="176"/>
      <c r="E40" s="175">
        <v>77.633415222167969</v>
      </c>
      <c r="F40" s="178">
        <v>38.708015441894531</v>
      </c>
      <c r="G40" s="178">
        <v>95.019073486328125</v>
      </c>
      <c r="H40" s="176"/>
      <c r="I40" s="175">
        <v>77.070404052734375</v>
      </c>
      <c r="J40" s="178">
        <v>43.790679931640625</v>
      </c>
      <c r="K40" s="178">
        <v>93.548957824707031</v>
      </c>
      <c r="L40" s="176"/>
      <c r="M40" s="175">
        <v>35.250736236572266</v>
      </c>
      <c r="N40" s="178">
        <v>6.3799967765808105</v>
      </c>
      <c r="O40" s="178">
        <v>81.305809020996094</v>
      </c>
      <c r="P40" s="176"/>
      <c r="Q40" s="175">
        <v>18.851036071777344</v>
      </c>
      <c r="R40" s="178">
        <v>4.0552849769592285</v>
      </c>
      <c r="S40" s="178">
        <v>56.077648162841797</v>
      </c>
      <c r="T40" s="175">
        <v>6.1872400000000001</v>
      </c>
      <c r="U40" s="178">
        <v>1.3475900000000001</v>
      </c>
      <c r="V40" s="178">
        <v>24.152450000000002</v>
      </c>
      <c r="W40" s="175">
        <v>7.0155810000000001</v>
      </c>
      <c r="X40" s="175">
        <v>11.064909999999999</v>
      </c>
      <c r="Y40" s="175">
        <v>5.33871E-2</v>
      </c>
      <c r="Z40" s="175">
        <v>7.9150429999999998</v>
      </c>
      <c r="AA40" s="175">
        <v>8.1150950000000002</v>
      </c>
      <c r="AB40" s="175">
        <v>1.5082999999999999E-2</v>
      </c>
      <c r="AC40" s="176"/>
      <c r="AD40" s="175">
        <v>71.952896118164063</v>
      </c>
      <c r="AE40" s="178">
        <v>57.095909118652344</v>
      </c>
      <c r="AF40" s="178">
        <v>83.180686950683594</v>
      </c>
      <c r="AG40" s="176"/>
      <c r="AH40" s="175">
        <v>7.4174261093139648</v>
      </c>
      <c r="AI40" s="178">
        <v>2.3148353099822998</v>
      </c>
      <c r="AJ40" s="178">
        <v>21.313571929931641</v>
      </c>
      <c r="AK40" s="176">
        <v>11.641121999999999</v>
      </c>
      <c r="AL40" s="176"/>
      <c r="AM40" s="175">
        <v>42.273269653320298</v>
      </c>
      <c r="AN40" s="178">
        <v>26.0423183441162</v>
      </c>
      <c r="AO40" s="178">
        <v>60.363624572753906</v>
      </c>
      <c r="AP40" s="175">
        <v>10.1114148840668</v>
      </c>
      <c r="AQ40" s="178">
        <v>1.32190547099617</v>
      </c>
      <c r="AR40" s="178">
        <v>48.574805449682401</v>
      </c>
    </row>
    <row r="41" spans="1:44">
      <c r="A41" t="s">
        <v>265</v>
      </c>
      <c r="B41" t="s">
        <v>111</v>
      </c>
      <c r="C41">
        <v>2019</v>
      </c>
      <c r="D41" s="176"/>
      <c r="E41" s="175">
        <v>78.732200622558594</v>
      </c>
      <c r="F41" s="178">
        <v>44.184337615966797</v>
      </c>
      <c r="G41" s="178">
        <v>94.539100646972656</v>
      </c>
      <c r="H41" s="176"/>
      <c r="I41" s="175">
        <v>61.079185485839844</v>
      </c>
      <c r="J41" s="178">
        <v>40.269111633300781</v>
      </c>
      <c r="K41" s="178">
        <v>78.50848388671875</v>
      </c>
      <c r="L41" s="176"/>
      <c r="M41" s="175">
        <v>42.963180541992188</v>
      </c>
      <c r="N41" s="178">
        <v>15.862044334411621</v>
      </c>
      <c r="O41" s="178">
        <v>75.060127258300781</v>
      </c>
      <c r="P41" s="176"/>
      <c r="Q41" s="175">
        <v>25.285009384155273</v>
      </c>
      <c r="R41" s="178">
        <v>6.7483038902282715</v>
      </c>
      <c r="S41" s="178">
        <v>61.279422760009766</v>
      </c>
      <c r="T41" s="175">
        <v>5.2009499999999997</v>
      </c>
      <c r="U41" s="178">
        <v>1.1507499999999999</v>
      </c>
      <c r="V41" s="178">
        <v>20.543769999999999</v>
      </c>
      <c r="W41" s="175">
        <v>7.4481869999999999</v>
      </c>
      <c r="X41" s="175">
        <v>9.0783000000000005</v>
      </c>
      <c r="Y41" s="175">
        <v>2.99268E-2</v>
      </c>
      <c r="Z41" s="175">
        <v>6.5768959999999996</v>
      </c>
      <c r="AA41" s="175">
        <v>7.0544450000000003</v>
      </c>
      <c r="AB41" s="175">
        <v>8.4548999999999996E-3</v>
      </c>
      <c r="AC41" s="176"/>
      <c r="AD41" s="175">
        <v>17.856426239013672</v>
      </c>
      <c r="AE41" s="178">
        <v>9.3176393508911133</v>
      </c>
      <c r="AF41" s="178">
        <v>31.501924514770508</v>
      </c>
      <c r="AG41" s="176"/>
      <c r="AH41" s="175">
        <v>2.1687641143798828</v>
      </c>
      <c r="AI41" s="178">
        <v>0.47494465112686157</v>
      </c>
      <c r="AJ41" s="178">
        <v>9.3366470336914063</v>
      </c>
      <c r="AK41" s="176">
        <v>66.324860999999999</v>
      </c>
      <c r="AL41" s="176"/>
      <c r="AM41" s="175">
        <v>17.256633758544901</v>
      </c>
      <c r="AN41" s="178">
        <v>3.64708375930786</v>
      </c>
      <c r="AO41" s="178">
        <v>53.469299316406207</v>
      </c>
      <c r="AP41" s="175">
        <v>8.3472867507118202</v>
      </c>
      <c r="AQ41" s="178">
        <v>1.13135011671137</v>
      </c>
      <c r="AR41" s="178">
        <v>42.024698533235501</v>
      </c>
    </row>
    <row r="42" spans="1:44">
      <c r="A42" t="s">
        <v>339</v>
      </c>
      <c r="B42" t="s">
        <v>185</v>
      </c>
      <c r="C42">
        <v>2019</v>
      </c>
      <c r="D42" s="176">
        <v>80.216949565036515</v>
      </c>
      <c r="E42" s="175">
        <v>79.453384399414063</v>
      </c>
      <c r="F42" s="178">
        <v>64.053153991699219</v>
      </c>
      <c r="G42" s="178">
        <v>89.352615356445313</v>
      </c>
      <c r="H42" s="176">
        <v>70.687930735924894</v>
      </c>
      <c r="I42" s="175">
        <v>71.68304443359375</v>
      </c>
      <c r="J42" s="178">
        <v>56.623695373535156</v>
      </c>
      <c r="K42" s="178">
        <v>83.076698303222656</v>
      </c>
      <c r="L42" s="176">
        <v>50.680577297558642</v>
      </c>
      <c r="M42" s="175">
        <v>53.054122924804688</v>
      </c>
      <c r="N42" s="178">
        <v>25.427774429321289</v>
      </c>
      <c r="O42" s="178">
        <v>78.927497863769531</v>
      </c>
      <c r="P42" s="176"/>
      <c r="Q42" s="175">
        <v>30.44072151184082</v>
      </c>
      <c r="R42" s="178">
        <v>16.781389236450195</v>
      </c>
      <c r="S42" s="178">
        <v>48.71038818359375</v>
      </c>
      <c r="T42" s="175">
        <v>20.69566</v>
      </c>
      <c r="U42" s="178">
        <v>4.1296399999999993</v>
      </c>
      <c r="V42" s="178">
        <v>61.255579999999995</v>
      </c>
      <c r="W42" s="175">
        <v>8.3052309999999991</v>
      </c>
      <c r="X42" s="175">
        <v>9.4345630000000007</v>
      </c>
      <c r="Y42" s="175">
        <v>1.7628100000000001E-2</v>
      </c>
      <c r="Z42" s="175">
        <v>2.2443209999999998</v>
      </c>
      <c r="AA42" s="175">
        <v>6.3740079999999999</v>
      </c>
      <c r="AB42" s="175">
        <v>0</v>
      </c>
      <c r="AC42" s="176">
        <v>64.324189544230123</v>
      </c>
      <c r="AD42" s="175">
        <v>62.911289215087891</v>
      </c>
      <c r="AE42" s="178">
        <v>52.848423004150391</v>
      </c>
      <c r="AF42" s="178">
        <v>71.965797424316406</v>
      </c>
      <c r="AG42" s="176">
        <v>9.4661925926612209</v>
      </c>
      <c r="AH42" s="175">
        <v>4.8951234817504883</v>
      </c>
      <c r="AI42" s="178">
        <v>1.5935400724411011</v>
      </c>
      <c r="AJ42" s="178">
        <v>14.059783935546875</v>
      </c>
      <c r="AK42" s="176"/>
      <c r="AL42" s="176">
        <v>24.251942975436869</v>
      </c>
      <c r="AM42" s="175">
        <v>33.635524749755902</v>
      </c>
      <c r="AN42" s="178">
        <v>20.3735237121582</v>
      </c>
      <c r="AO42" s="178">
        <v>50.098800659179702</v>
      </c>
      <c r="AP42" s="175">
        <v>9.5022966614082307</v>
      </c>
      <c r="AQ42" s="178">
        <v>1.3586555333602601</v>
      </c>
      <c r="AR42" s="178">
        <v>44.458185816210502</v>
      </c>
    </row>
    <row r="43" spans="1:44">
      <c r="A43" t="s">
        <v>266</v>
      </c>
      <c r="B43" t="s">
        <v>112</v>
      </c>
      <c r="C43">
        <v>2019</v>
      </c>
      <c r="D43" s="176">
        <v>73.883926461002815</v>
      </c>
      <c r="E43" s="175">
        <v>74.191184997558594</v>
      </c>
      <c r="F43" s="178">
        <v>65.824996948242188</v>
      </c>
      <c r="G43" s="178">
        <v>81.097427368164063</v>
      </c>
      <c r="H43" s="176">
        <v>46.037389242232528</v>
      </c>
      <c r="I43" s="175">
        <v>49.445484161376953</v>
      </c>
      <c r="J43" s="178">
        <v>42.7552490234375</v>
      </c>
      <c r="K43" s="178">
        <v>56.155632019042969</v>
      </c>
      <c r="L43" s="176">
        <v>19.233130985100249</v>
      </c>
      <c r="M43" s="175">
        <v>19.138538360595703</v>
      </c>
      <c r="N43" s="178">
        <v>12.895732879638672</v>
      </c>
      <c r="O43" s="178">
        <v>27.451042175292969</v>
      </c>
      <c r="P43" s="176">
        <v>12.021346933563001</v>
      </c>
      <c r="Q43" s="175">
        <v>11.814970016479492</v>
      </c>
      <c r="R43" s="178">
        <v>8.2375984191894531</v>
      </c>
      <c r="S43" s="178">
        <v>16.663778305053711</v>
      </c>
      <c r="T43" s="175">
        <v>1.9293600000000002</v>
      </c>
      <c r="U43" s="178">
        <v>1.3442499999999999</v>
      </c>
      <c r="V43" s="178">
        <v>2.7620200000000001</v>
      </c>
      <c r="W43" s="175">
        <v>5.0296029999999998</v>
      </c>
      <c r="X43" s="175">
        <v>6.4471239999999996</v>
      </c>
      <c r="Y43" s="175">
        <v>1.56022E-2</v>
      </c>
      <c r="Z43" s="175">
        <v>1.9858739999999999</v>
      </c>
      <c r="AA43" s="175">
        <v>5.4028710000000002</v>
      </c>
      <c r="AB43" s="175">
        <v>0</v>
      </c>
      <c r="AC43" s="176">
        <v>8.6320971417176526</v>
      </c>
      <c r="AD43" s="175">
        <v>7.1900238990783691</v>
      </c>
      <c r="AE43" s="178">
        <v>5.5972466468811035</v>
      </c>
      <c r="AF43" s="178">
        <v>9.1919164657592773</v>
      </c>
      <c r="AG43" s="176">
        <v>0.931803447721265</v>
      </c>
      <c r="AH43" s="175">
        <v>0.24066245555877686</v>
      </c>
      <c r="AI43" s="178">
        <v>9.0042479336261749E-2</v>
      </c>
      <c r="AJ43" s="178">
        <v>0.6416163444519043</v>
      </c>
      <c r="AK43" s="176"/>
      <c r="AL43" s="176">
        <v>8.1001705890774343</v>
      </c>
      <c r="AM43" s="175">
        <v>9.9128732681274396</v>
      </c>
      <c r="AN43" s="178">
        <v>5.2172513008117702</v>
      </c>
      <c r="AO43" s="178">
        <v>18.0306911468506</v>
      </c>
      <c r="AP43" s="175">
        <v>7.8294179796964691</v>
      </c>
      <c r="AQ43" s="178">
        <v>0.91579700678920706</v>
      </c>
      <c r="AR43" s="178">
        <v>43.842043840907799</v>
      </c>
    </row>
    <row r="44" spans="1:44">
      <c r="A44" t="s">
        <v>267</v>
      </c>
      <c r="B44" t="s">
        <v>113</v>
      </c>
      <c r="C44">
        <v>2019</v>
      </c>
      <c r="D44" s="176">
        <v>94.255803875301098</v>
      </c>
      <c r="E44" s="175">
        <v>95.145896911621094</v>
      </c>
      <c r="F44" s="178">
        <v>88.312828063964844</v>
      </c>
      <c r="G44" s="178">
        <v>98.071174621582031</v>
      </c>
      <c r="H44" s="176">
        <v>94.255803875301098</v>
      </c>
      <c r="I44" s="175">
        <v>87.742774963378906</v>
      </c>
      <c r="J44" s="178">
        <v>42.259685516357422</v>
      </c>
      <c r="K44" s="178">
        <v>98.591850280761719</v>
      </c>
      <c r="L44" s="176">
        <v>70.350460448430695</v>
      </c>
      <c r="M44" s="175">
        <v>75.879425048828125</v>
      </c>
      <c r="N44" s="178">
        <v>60.30987548828125</v>
      </c>
      <c r="O44" s="178">
        <v>86.689361572265625</v>
      </c>
      <c r="P44" s="176"/>
      <c r="Q44" s="175">
        <v>50.234909057617188</v>
      </c>
      <c r="R44" s="178">
        <v>28.013397216796875</v>
      </c>
      <c r="S44" s="178">
        <v>72.364006042480469</v>
      </c>
      <c r="T44" s="175">
        <v>26.913820000000001</v>
      </c>
      <c r="U44" s="178">
        <v>8.0735899999999994</v>
      </c>
      <c r="V44" s="178">
        <v>60.692159999999994</v>
      </c>
      <c r="W44" s="175">
        <v>33.194789999999998</v>
      </c>
      <c r="X44" s="175">
        <v>0.66429260000000001</v>
      </c>
      <c r="Y44" s="175">
        <v>0.433863</v>
      </c>
      <c r="Z44" s="175">
        <v>30.035789999999999</v>
      </c>
      <c r="AA44" s="175">
        <v>0.96585290000000001</v>
      </c>
      <c r="AB44" s="175">
        <v>0.88072010000000001</v>
      </c>
      <c r="AC44" s="176">
        <v>99.162215767130007</v>
      </c>
      <c r="AD44" s="175">
        <v>97.067893981933594</v>
      </c>
      <c r="AE44" s="178">
        <v>95.820472717285156</v>
      </c>
      <c r="AF44" s="178">
        <v>97.950973510742188</v>
      </c>
      <c r="AG44" s="176">
        <v>20.69872798159642</v>
      </c>
      <c r="AH44" s="175">
        <v>20.702489852905273</v>
      </c>
      <c r="AI44" s="178">
        <v>7.9355382919311523</v>
      </c>
      <c r="AJ44" s="178">
        <v>44.157615661621094</v>
      </c>
      <c r="AK44" s="176">
        <v>6.4806933000000004</v>
      </c>
      <c r="AL44" s="176"/>
      <c r="AM44" s="175">
        <v>75.530021667480497</v>
      </c>
      <c r="AN44" s="178">
        <v>35.005722045898402</v>
      </c>
      <c r="AO44" s="178">
        <v>94.649314880371094</v>
      </c>
      <c r="AP44" s="175">
        <v>15.803358070468098</v>
      </c>
      <c r="AQ44" s="178">
        <v>12.891711111737401</v>
      </c>
      <c r="AR44" s="178">
        <v>19.227458605244298</v>
      </c>
    </row>
    <row r="45" spans="1:44">
      <c r="A45" t="s">
        <v>269</v>
      </c>
      <c r="B45" t="s">
        <v>115</v>
      </c>
      <c r="C45">
        <v>2019</v>
      </c>
      <c r="D45" s="176">
        <v>92.929845983753864</v>
      </c>
      <c r="E45" s="175">
        <v>93.406944274902344</v>
      </c>
      <c r="F45" s="178">
        <v>80.008186340332031</v>
      </c>
      <c r="G45" s="178">
        <v>98.04510498046875</v>
      </c>
      <c r="H45" s="176">
        <v>85.18376799374316</v>
      </c>
      <c r="I45" s="175">
        <v>89.418128967285156</v>
      </c>
      <c r="J45" s="178">
        <v>74.629859924316406</v>
      </c>
      <c r="K45" s="178">
        <v>96.043319702148438</v>
      </c>
      <c r="L45" s="176">
        <v>70.404327471519949</v>
      </c>
      <c r="M45" s="175">
        <v>73.533439636230469</v>
      </c>
      <c r="N45" s="178">
        <v>41.999462127685547</v>
      </c>
      <c r="O45" s="178">
        <v>91.423774719238281</v>
      </c>
      <c r="P45" s="176"/>
      <c r="Q45" s="175">
        <v>42.973087310791016</v>
      </c>
      <c r="R45" s="178">
        <v>17.550670623779297</v>
      </c>
      <c r="S45" s="178">
        <v>72.734489440917969</v>
      </c>
      <c r="T45" s="175">
        <v>21.1295</v>
      </c>
      <c r="U45" s="178">
        <v>4.7337299999999995</v>
      </c>
      <c r="V45" s="178">
        <v>59.090050000000005</v>
      </c>
      <c r="W45" s="175">
        <v>2.634687</v>
      </c>
      <c r="X45" s="175">
        <v>8.3771199999999997</v>
      </c>
      <c r="Y45" s="175">
        <v>6.5967300000000006E-2</v>
      </c>
      <c r="Z45" s="175">
        <v>2.1459459999999999</v>
      </c>
      <c r="AA45" s="175">
        <v>3.2846449999999998</v>
      </c>
      <c r="AB45" s="175">
        <v>0</v>
      </c>
      <c r="AC45" s="176">
        <v>49.784825726917653</v>
      </c>
      <c r="AD45" s="175">
        <v>55.207027435302734</v>
      </c>
      <c r="AE45" s="178">
        <v>38.144130706787109</v>
      </c>
      <c r="AF45" s="178">
        <v>71.12603759765625</v>
      </c>
      <c r="AG45" s="176">
        <v>33.828389462629723</v>
      </c>
      <c r="AH45" s="175">
        <v>18.903692245483398</v>
      </c>
      <c r="AI45" s="178">
        <v>6.779961109161377</v>
      </c>
      <c r="AJ45" s="178">
        <v>42.761974334716797</v>
      </c>
      <c r="AK45" s="176"/>
      <c r="AL45" s="176"/>
      <c r="AM45" s="175">
        <v>69.109428405761705</v>
      </c>
      <c r="AN45" s="178">
        <v>23.156810760498001</v>
      </c>
      <c r="AO45" s="178">
        <v>94.321159362792997</v>
      </c>
      <c r="AP45" s="175">
        <v>12.003852494203199</v>
      </c>
      <c r="AQ45" s="178">
        <v>0.97916932007153301</v>
      </c>
      <c r="AR45" s="178">
        <v>65.299950092539703</v>
      </c>
    </row>
    <row r="46" spans="1:44">
      <c r="A46" t="s">
        <v>273</v>
      </c>
      <c r="B46" t="s">
        <v>119</v>
      </c>
      <c r="C46">
        <v>2019</v>
      </c>
      <c r="D46" s="176">
        <v>89.29769089491549</v>
      </c>
      <c r="E46" s="175">
        <v>90.350013732910156</v>
      </c>
      <c r="F46" s="178">
        <v>82.295486450195313</v>
      </c>
      <c r="G46" s="178">
        <v>94.96441650390625</v>
      </c>
      <c r="H46" s="176">
        <v>80.59738625937409</v>
      </c>
      <c r="I46" s="175">
        <v>83.67364501953125</v>
      </c>
      <c r="J46" s="178">
        <v>75.278167724609375</v>
      </c>
      <c r="K46" s="178">
        <v>89.611495971679688</v>
      </c>
      <c r="L46" s="176">
        <v>43.980320093197257</v>
      </c>
      <c r="M46" s="175">
        <v>45.131072998046875</v>
      </c>
      <c r="N46" s="178">
        <v>29.154842376708984</v>
      </c>
      <c r="O46" s="178">
        <v>62.178302764892578</v>
      </c>
      <c r="P46" s="176">
        <v>43.980320093197257</v>
      </c>
      <c r="Q46" s="175">
        <v>44.302566528320313</v>
      </c>
      <c r="R46" s="178">
        <v>28.310138702392578</v>
      </c>
      <c r="S46" s="178">
        <v>61.570240020751953</v>
      </c>
      <c r="T46" s="175">
        <v>14.55275</v>
      </c>
      <c r="U46" s="178">
        <v>10.48509</v>
      </c>
      <c r="V46" s="178">
        <v>19.84854</v>
      </c>
      <c r="W46" s="175">
        <v>1.809714</v>
      </c>
      <c r="X46" s="175">
        <v>12.02594</v>
      </c>
      <c r="Y46" s="175">
        <v>4.5524599999999998E-2</v>
      </c>
      <c r="Z46" s="175">
        <v>0</v>
      </c>
      <c r="AA46" s="175">
        <v>3.265037</v>
      </c>
      <c r="AB46" s="175">
        <v>0</v>
      </c>
      <c r="AC46" s="176">
        <v>46.737498836115073</v>
      </c>
      <c r="AD46" s="175">
        <v>47.275447845458984</v>
      </c>
      <c r="AE46" s="178">
        <v>40.730827331542969</v>
      </c>
      <c r="AF46" s="178">
        <v>53.915065765380859</v>
      </c>
      <c r="AG46" s="176">
        <v>1.805235414265747</v>
      </c>
      <c r="AH46" s="175">
        <v>1.5382329225540161</v>
      </c>
      <c r="AI46" s="178">
        <v>0.86774134635925293</v>
      </c>
      <c r="AJ46" s="178">
        <v>2.7126255035400391</v>
      </c>
      <c r="AK46" s="176"/>
      <c r="AL46" s="176">
        <v>17.842376982049188</v>
      </c>
      <c r="AM46" s="175">
        <v>18.697559356689499</v>
      </c>
      <c r="AN46" s="178">
        <v>10.2008571624756</v>
      </c>
      <c r="AO46" s="178">
        <v>31.767822265625</v>
      </c>
      <c r="AP46" s="175">
        <v>8.4488982302269005</v>
      </c>
      <c r="AQ46" s="178">
        <v>1.1791706242220998</v>
      </c>
      <c r="AR46" s="178">
        <v>41.648360695938599</v>
      </c>
    </row>
    <row r="47" spans="1:44">
      <c r="A47" t="s">
        <v>270</v>
      </c>
      <c r="B47" t="s">
        <v>116</v>
      </c>
      <c r="C47">
        <v>2019</v>
      </c>
      <c r="D47" s="176">
        <v>97.222201416146589</v>
      </c>
      <c r="E47" s="175">
        <v>97.38079833984375</v>
      </c>
      <c r="F47" s="178">
        <v>95.595512390136719</v>
      </c>
      <c r="G47" s="178">
        <v>98.454147338867188</v>
      </c>
      <c r="H47" s="176">
        <v>97.222201416146589</v>
      </c>
      <c r="I47" s="175">
        <v>96.895645141601563</v>
      </c>
      <c r="J47" s="178">
        <v>94.28570556640625</v>
      </c>
      <c r="K47" s="178">
        <v>98.334579467773438</v>
      </c>
      <c r="L47" s="176">
        <v>97.222201416146589</v>
      </c>
      <c r="M47" s="175">
        <v>96.629646301269531</v>
      </c>
      <c r="N47" s="178">
        <v>94.896224975585938</v>
      </c>
      <c r="O47" s="178">
        <v>97.788055419921875</v>
      </c>
      <c r="P47" s="176">
        <v>66.122288480700021</v>
      </c>
      <c r="Q47" s="175">
        <v>65.968612670898438</v>
      </c>
      <c r="R47" s="178">
        <v>53.087020874023438</v>
      </c>
      <c r="S47" s="178">
        <v>76.855209350585938</v>
      </c>
      <c r="T47" s="175">
        <v>52.752140000000004</v>
      </c>
      <c r="U47" s="178">
        <v>44.525890000000004</v>
      </c>
      <c r="V47" s="178">
        <v>60.831620000000001</v>
      </c>
      <c r="W47" s="175">
        <v>8.7854010000000002</v>
      </c>
      <c r="X47" s="175">
        <v>2.7603930000000001</v>
      </c>
      <c r="Y47" s="175">
        <v>0.10040250000000001</v>
      </c>
      <c r="Z47" s="175">
        <v>6.5748920000000002</v>
      </c>
      <c r="AA47" s="175">
        <v>0.90738730000000001</v>
      </c>
      <c r="AB47" s="175">
        <v>1.90034E-2</v>
      </c>
      <c r="AC47" s="176">
        <v>85.923023031690548</v>
      </c>
      <c r="AD47" s="175">
        <v>86.281745910644531</v>
      </c>
      <c r="AE47" s="178">
        <v>83.541427612304688</v>
      </c>
      <c r="AF47" s="178">
        <v>88.627914428710938</v>
      </c>
      <c r="AG47" s="176">
        <v>60.239111021226407</v>
      </c>
      <c r="AH47" s="175">
        <v>55.023719787597656</v>
      </c>
      <c r="AI47" s="178">
        <v>43.180683135986328</v>
      </c>
      <c r="AJ47" s="178">
        <v>66.323432922363281</v>
      </c>
      <c r="AK47" s="176"/>
      <c r="AL47" s="176">
        <v>91.667342105720948</v>
      </c>
      <c r="AM47" s="175">
        <v>92.745964050292997</v>
      </c>
      <c r="AN47" s="178">
        <v>86.254539489746094</v>
      </c>
      <c r="AO47" s="178">
        <v>96.303146362304702</v>
      </c>
      <c r="AP47" s="175">
        <v>24.4898843227562</v>
      </c>
      <c r="AQ47" s="178">
        <v>1.3650007736174399</v>
      </c>
      <c r="AR47" s="178">
        <v>88.373222834993001</v>
      </c>
    </row>
    <row r="48" spans="1:44">
      <c r="A48" t="s">
        <v>271</v>
      </c>
      <c r="B48" t="s">
        <v>117</v>
      </c>
      <c r="C48">
        <v>2019</v>
      </c>
      <c r="D48" s="176">
        <v>91.530144302560259</v>
      </c>
      <c r="E48" s="175">
        <v>91.079574584960938</v>
      </c>
      <c r="F48" s="178">
        <v>86.8463134765625</v>
      </c>
      <c r="G48" s="178">
        <v>94.04388427734375</v>
      </c>
      <c r="H48" s="176">
        <v>84.659463294224693</v>
      </c>
      <c r="I48" s="175">
        <v>84.461318969726563</v>
      </c>
      <c r="J48" s="178">
        <v>80.813285827636719</v>
      </c>
      <c r="K48" s="178">
        <v>87.522834777832031</v>
      </c>
      <c r="L48" s="176">
        <v>39.697900436363767</v>
      </c>
      <c r="M48" s="175">
        <v>39.224430084228516</v>
      </c>
      <c r="N48" s="178">
        <v>30.067766189575195</v>
      </c>
      <c r="O48" s="178">
        <v>49.207485198974609</v>
      </c>
      <c r="P48" s="176">
        <v>39.697900436363767</v>
      </c>
      <c r="Q48" s="175">
        <v>39.141517639160156</v>
      </c>
      <c r="R48" s="178">
        <v>29.373348236083984</v>
      </c>
      <c r="S48" s="178">
        <v>49.8646240234375</v>
      </c>
      <c r="T48" s="175">
        <v>18.664149999999999</v>
      </c>
      <c r="U48" s="178">
        <v>14.668909999999999</v>
      </c>
      <c r="V48" s="178">
        <v>23.448509999999999</v>
      </c>
      <c r="W48" s="175">
        <v>3.1380810000000001</v>
      </c>
      <c r="X48" s="175">
        <v>4.3035870000000003</v>
      </c>
      <c r="Y48" s="175">
        <v>4.1684499999999999E-2</v>
      </c>
      <c r="Z48" s="175">
        <v>1.604255</v>
      </c>
      <c r="AA48" s="175">
        <v>2.5057800000000001</v>
      </c>
      <c r="AB48" s="175">
        <v>0</v>
      </c>
      <c r="AC48" s="176">
        <v>22.75965575267659</v>
      </c>
      <c r="AD48" s="175">
        <v>22.317317962646484</v>
      </c>
      <c r="AE48" s="178">
        <v>19.351234436035156</v>
      </c>
      <c r="AF48" s="178">
        <v>25.593753814697266</v>
      </c>
      <c r="AG48" s="176">
        <v>3.2216520804697071</v>
      </c>
      <c r="AH48" s="175">
        <v>0.81278997659683228</v>
      </c>
      <c r="AI48" s="178">
        <v>0.51495242118835449</v>
      </c>
      <c r="AJ48" s="178">
        <v>1.280672550201416</v>
      </c>
      <c r="AK48" s="176">
        <v>34.722276000000001</v>
      </c>
      <c r="AL48" s="176">
        <v>41.467593042960473</v>
      </c>
      <c r="AM48" s="175">
        <v>42.944789886474602</v>
      </c>
      <c r="AN48" s="178">
        <v>30.4725952148438</v>
      </c>
      <c r="AO48" s="178">
        <v>56.382125854492202</v>
      </c>
      <c r="AP48" s="175">
        <v>10.1587692821724</v>
      </c>
      <c r="AQ48" s="178">
        <v>1.3189903188894099</v>
      </c>
      <c r="AR48" s="178">
        <v>48.890496489524601</v>
      </c>
    </row>
    <row r="49" spans="1:44">
      <c r="A49" t="s">
        <v>276</v>
      </c>
      <c r="B49" t="s">
        <v>122</v>
      </c>
      <c r="C49">
        <v>2019</v>
      </c>
      <c r="D49" s="176"/>
      <c r="E49" s="175">
        <v>95.150825500488281</v>
      </c>
      <c r="F49" s="178">
        <v>58.378189086914063</v>
      </c>
      <c r="G49" s="178">
        <v>99.637039184570313</v>
      </c>
      <c r="H49" s="176"/>
      <c r="I49" s="175">
        <v>93.233230590820313</v>
      </c>
      <c r="J49" s="178">
        <v>60.180385589599609</v>
      </c>
      <c r="K49" s="178">
        <v>99.210166931152344</v>
      </c>
      <c r="L49" s="176"/>
      <c r="M49" s="175">
        <v>90.794044494628906</v>
      </c>
      <c r="N49" s="178">
        <v>28.089481353759766</v>
      </c>
      <c r="O49" s="178">
        <v>99.600021362304688</v>
      </c>
      <c r="P49" s="176"/>
      <c r="Q49" s="175">
        <v>59.641273498535156</v>
      </c>
      <c r="R49" s="178">
        <v>9.5539636611938477</v>
      </c>
      <c r="S49" s="178">
        <v>95.386177062988281</v>
      </c>
      <c r="T49" s="175">
        <v>40.85819</v>
      </c>
      <c r="U49" s="178">
        <v>12.118930000000001</v>
      </c>
      <c r="V49" s="178">
        <v>77.583429999999993</v>
      </c>
      <c r="W49" s="175">
        <v>22.341830000000002</v>
      </c>
      <c r="X49" s="175">
        <v>17.174589999999998</v>
      </c>
      <c r="Y49" s="175">
        <v>3.4951700000000002E-2</v>
      </c>
      <c r="Z49" s="175">
        <v>20.685459999999999</v>
      </c>
      <c r="AA49" s="175">
        <v>15.14424</v>
      </c>
      <c r="AB49" s="175">
        <v>0.16219259999999999</v>
      </c>
      <c r="AC49" s="176"/>
      <c r="AD49" s="175">
        <v>82.855369567871094</v>
      </c>
      <c r="AE49" s="178">
        <v>45.452327728271484</v>
      </c>
      <c r="AF49" s="178">
        <v>96.555152893066406</v>
      </c>
      <c r="AG49" s="176"/>
      <c r="AH49" s="175">
        <v>16.195484161376953</v>
      </c>
      <c r="AI49" s="178">
        <v>0.95786464214324951</v>
      </c>
      <c r="AJ49" s="178">
        <v>79.430694580078125</v>
      </c>
      <c r="AK49" s="176"/>
      <c r="AL49" s="176"/>
      <c r="AM49" s="175">
        <v>81.693374633789105</v>
      </c>
      <c r="AN49" s="178">
        <v>43.369438171386697</v>
      </c>
      <c r="AO49" s="178">
        <v>96.296714782714801</v>
      </c>
      <c r="AP49" s="175">
        <v>35.7984304423615</v>
      </c>
      <c r="AQ49" s="178">
        <v>27.930750739738304</v>
      </c>
      <c r="AR49" s="178">
        <v>44.513480501308599</v>
      </c>
    </row>
    <row r="50" spans="1:44">
      <c r="A50" t="s">
        <v>277</v>
      </c>
      <c r="B50" t="s">
        <v>123</v>
      </c>
      <c r="C50">
        <v>2019</v>
      </c>
      <c r="D50" s="176">
        <v>94.65886595920756</v>
      </c>
      <c r="E50" s="175">
        <v>94.687995910644531</v>
      </c>
      <c r="F50" s="178">
        <v>91.953056335449219</v>
      </c>
      <c r="G50" s="178">
        <v>96.528495788574219</v>
      </c>
      <c r="H50" s="176">
        <v>93.624646314354834</v>
      </c>
      <c r="I50" s="175">
        <v>94.687995910644531</v>
      </c>
      <c r="J50" s="178">
        <v>92.153678894042969</v>
      </c>
      <c r="K50" s="178">
        <v>96.940254211425781</v>
      </c>
      <c r="L50" s="176">
        <v>86.867081215635793</v>
      </c>
      <c r="M50" s="175">
        <v>89.67620849609375</v>
      </c>
      <c r="N50" s="178">
        <v>80.870635986328125</v>
      </c>
      <c r="O50" s="178">
        <v>94.694351196289063</v>
      </c>
      <c r="P50" s="176">
        <v>55.567531713024778</v>
      </c>
      <c r="Q50" s="175">
        <v>55.751945495605469</v>
      </c>
      <c r="R50" s="178">
        <v>44.681896209716797</v>
      </c>
      <c r="S50" s="178">
        <v>66.278572082519531</v>
      </c>
      <c r="T50" s="175">
        <v>31.79055</v>
      </c>
      <c r="U50" s="178">
        <v>9.8599700000000006</v>
      </c>
      <c r="V50" s="178">
        <v>66.508809999999997</v>
      </c>
      <c r="W50" s="175">
        <v>47.5321</v>
      </c>
      <c r="X50" s="175">
        <v>20.930779999999999</v>
      </c>
      <c r="Y50" s="175">
        <v>4.0734899999999997E-2</v>
      </c>
      <c r="Z50" s="175">
        <v>39.431890000000003</v>
      </c>
      <c r="AA50" s="175">
        <v>12.490159999999999</v>
      </c>
      <c r="AB50" s="175">
        <v>0.18771360000000001</v>
      </c>
      <c r="AC50" s="176">
        <v>67.689184119017071</v>
      </c>
      <c r="AD50" s="175">
        <v>68.847671508789063</v>
      </c>
      <c r="AE50" s="178">
        <v>62.285106658935547</v>
      </c>
      <c r="AF50" s="178">
        <v>74.731582641601563</v>
      </c>
      <c r="AG50" s="176">
        <v>43.386889459619283</v>
      </c>
      <c r="AH50" s="175">
        <v>35.260726928710938</v>
      </c>
      <c r="AI50" s="178">
        <v>20.844762802124023</v>
      </c>
      <c r="AJ50" s="178">
        <v>52.974277496337891</v>
      </c>
      <c r="AK50" s="176"/>
      <c r="AL50" s="176">
        <v>76.766417913232061</v>
      </c>
      <c r="AM50" s="175">
        <v>82.013343811035199</v>
      </c>
      <c r="AN50" s="178">
        <v>68.986541748046903</v>
      </c>
      <c r="AO50" s="178">
        <v>90.334999084472699</v>
      </c>
      <c r="AP50" s="175">
        <v>35.861088662471005</v>
      </c>
      <c r="AQ50" s="178">
        <v>29.276587548600901</v>
      </c>
      <c r="AR50" s="178">
        <v>43.025563256397199</v>
      </c>
    </row>
    <row r="51" spans="1:44">
      <c r="A51" t="s">
        <v>272</v>
      </c>
      <c r="B51" t="s">
        <v>118</v>
      </c>
      <c r="C51">
        <v>2019</v>
      </c>
      <c r="D51" s="176">
        <v>84.137470176428081</v>
      </c>
      <c r="E51" s="175">
        <v>84.061439514160156</v>
      </c>
      <c r="F51" s="178">
        <v>74.082046508789063</v>
      </c>
      <c r="G51" s="178">
        <v>90.68170166015625</v>
      </c>
      <c r="H51" s="176">
        <v>63.924852020601293</v>
      </c>
      <c r="I51" s="175">
        <v>66.427772521972656</v>
      </c>
      <c r="J51" s="178">
        <v>56.512863159179688</v>
      </c>
      <c r="K51" s="178">
        <v>75.0789794921875</v>
      </c>
      <c r="L51" s="176">
        <v>39.769424768868532</v>
      </c>
      <c r="M51" s="175">
        <v>36.244808197021484</v>
      </c>
      <c r="N51" s="178">
        <v>22.077836990356445</v>
      </c>
      <c r="O51" s="178">
        <v>53.285938262939453</v>
      </c>
      <c r="P51" s="176"/>
      <c r="Q51" s="175">
        <v>24.764068603515625</v>
      </c>
      <c r="R51" s="178">
        <v>15.138178825378418</v>
      </c>
      <c r="S51" s="178">
        <v>37.785423278808594</v>
      </c>
      <c r="T51" s="175">
        <v>5.7658500000000004</v>
      </c>
      <c r="U51" s="178">
        <v>1.2231799999999999</v>
      </c>
      <c r="V51" s="178">
        <v>23.214280000000002</v>
      </c>
      <c r="W51" s="175">
        <v>2.3084180000000001</v>
      </c>
      <c r="X51" s="175">
        <v>14.935409999999999</v>
      </c>
      <c r="Y51" s="175">
        <v>2.68306E-2</v>
      </c>
      <c r="Z51" s="175">
        <v>0.47328940000000003</v>
      </c>
      <c r="AA51" s="175">
        <v>17.16132</v>
      </c>
      <c r="AB51" s="175">
        <v>2.6157400000000001E-2</v>
      </c>
      <c r="AC51" s="176">
        <v>28.490129200970191</v>
      </c>
      <c r="AD51" s="175">
        <v>27.696027755737305</v>
      </c>
      <c r="AE51" s="178">
        <v>20.397525787353516</v>
      </c>
      <c r="AF51" s="178">
        <v>36.411483764648438</v>
      </c>
      <c r="AG51" s="176">
        <v>2.0391038349805388</v>
      </c>
      <c r="AH51" s="175">
        <v>1.1276037693023682</v>
      </c>
      <c r="AI51" s="178">
        <v>0.37128683924674988</v>
      </c>
      <c r="AJ51" s="178">
        <v>3.3723995685577393</v>
      </c>
      <c r="AK51" s="176">
        <v>12.865544999999999</v>
      </c>
      <c r="AL51" s="176">
        <v>20.401704706339139</v>
      </c>
      <c r="AM51" s="175">
        <v>20.06005859375</v>
      </c>
      <c r="AN51" s="178">
        <v>10.3854465484619</v>
      </c>
      <c r="AO51" s="178">
        <v>35.206432342529297</v>
      </c>
      <c r="AP51" s="175">
        <v>8.5449792239257807</v>
      </c>
      <c r="AQ51" s="178">
        <v>1.2100608262938102</v>
      </c>
      <c r="AR51" s="178">
        <v>41.612975829354895</v>
      </c>
    </row>
    <row r="52" spans="1:44">
      <c r="A52" t="s">
        <v>274</v>
      </c>
      <c r="B52" t="s">
        <v>120</v>
      </c>
      <c r="C52">
        <v>2019</v>
      </c>
      <c r="D52" s="176">
        <v>72.311651420174272</v>
      </c>
      <c r="E52" s="175">
        <v>73.782470703125</v>
      </c>
      <c r="F52" s="178">
        <v>55.915660858154297</v>
      </c>
      <c r="G52" s="178">
        <v>86.195770263671875</v>
      </c>
      <c r="H52" s="176">
        <v>58.994949449643187</v>
      </c>
      <c r="I52" s="175">
        <v>63.366230010986328</v>
      </c>
      <c r="J52" s="178">
        <v>52.844856262207031</v>
      </c>
      <c r="K52" s="178">
        <v>72.750556945800781</v>
      </c>
      <c r="L52" s="176">
        <v>23.990685576450709</v>
      </c>
      <c r="M52" s="175">
        <v>25.89491081237793</v>
      </c>
      <c r="N52" s="178">
        <v>15.123966217041016</v>
      </c>
      <c r="O52" s="178">
        <v>40.661792755126953</v>
      </c>
      <c r="P52" s="176">
        <v>23.990685576450709</v>
      </c>
      <c r="Q52" s="175">
        <v>24.176675796508789</v>
      </c>
      <c r="R52" s="178">
        <v>12.565110206604004</v>
      </c>
      <c r="S52" s="178">
        <v>41.433704376220703</v>
      </c>
      <c r="T52" s="175">
        <v>1.9048200000000002</v>
      </c>
      <c r="U52" s="178">
        <v>1.06528</v>
      </c>
      <c r="V52" s="178">
        <v>3.3833700000000002</v>
      </c>
      <c r="W52" s="175">
        <v>2.679662</v>
      </c>
      <c r="X52" s="175">
        <v>10.023440000000001</v>
      </c>
      <c r="Y52" s="175">
        <v>3.2179800000000001E-2</v>
      </c>
      <c r="Z52" s="175">
        <v>0.70011619999999997</v>
      </c>
      <c r="AA52" s="175">
        <v>8.5338259999999995</v>
      </c>
      <c r="AB52" s="175">
        <v>4.8234999999999997E-3</v>
      </c>
      <c r="AC52" s="176">
        <v>17.451938584502031</v>
      </c>
      <c r="AD52" s="175">
        <v>16.954046249389648</v>
      </c>
      <c r="AE52" s="178">
        <v>12.658731460571289</v>
      </c>
      <c r="AF52" s="178">
        <v>22.334140777587891</v>
      </c>
      <c r="AG52" s="176">
        <v>1.2855219021683</v>
      </c>
      <c r="AH52" s="175">
        <v>0.63240748643875122</v>
      </c>
      <c r="AI52" s="178">
        <v>0.25416839122772217</v>
      </c>
      <c r="AJ52" s="178">
        <v>1.5646910667419434</v>
      </c>
      <c r="AK52" s="176">
        <v>29.590872000000001</v>
      </c>
      <c r="AL52" s="176">
        <v>16.582050438649048</v>
      </c>
      <c r="AM52" s="175">
        <v>10.967079162597701</v>
      </c>
      <c r="AN52" s="178">
        <v>6.9939484596252388</v>
      </c>
      <c r="AO52" s="178">
        <v>16.789819717407202</v>
      </c>
      <c r="AP52" s="175">
        <v>7.9037586818038896</v>
      </c>
      <c r="AQ52" s="178">
        <v>0.95215192008223404</v>
      </c>
      <c r="AR52" s="178">
        <v>43.380149658861001</v>
      </c>
    </row>
    <row r="53" spans="1:44">
      <c r="A53" t="s">
        <v>278</v>
      </c>
      <c r="B53" t="s">
        <v>124</v>
      </c>
      <c r="C53">
        <v>2019</v>
      </c>
      <c r="D53" s="176">
        <v>96.755760570628411</v>
      </c>
      <c r="E53" s="175">
        <v>96.673500061035156</v>
      </c>
      <c r="F53" s="178">
        <v>90.459197998046875</v>
      </c>
      <c r="G53" s="178">
        <v>98.889854431152344</v>
      </c>
      <c r="H53" s="176">
        <v>95.548919322564075</v>
      </c>
      <c r="I53" s="175">
        <v>95.373161315917969</v>
      </c>
      <c r="J53" s="178">
        <v>91.352241516113281</v>
      </c>
      <c r="K53" s="178">
        <v>97.574134826660156</v>
      </c>
      <c r="L53" s="176">
        <v>94.400691570980001</v>
      </c>
      <c r="M53" s="175">
        <v>93.631889343261719</v>
      </c>
      <c r="N53" s="178">
        <v>81.626449584960938</v>
      </c>
      <c r="O53" s="178">
        <v>97.986381530761719</v>
      </c>
      <c r="P53" s="176"/>
      <c r="Q53" s="175">
        <v>57.802230834960938</v>
      </c>
      <c r="R53" s="178">
        <v>30.886367797851563</v>
      </c>
      <c r="S53" s="178">
        <v>80.764144897460938</v>
      </c>
      <c r="T53" s="175">
        <v>30.142340000000001</v>
      </c>
      <c r="U53" s="178">
        <v>17.569520000000001</v>
      </c>
      <c r="V53" s="178">
        <v>46.623460000000001</v>
      </c>
      <c r="W53" s="175">
        <v>17.26688</v>
      </c>
      <c r="X53" s="175">
        <v>21.612539999999999</v>
      </c>
      <c r="Y53" s="175">
        <v>3.1219899999999998E-2</v>
      </c>
      <c r="Z53" s="175">
        <v>11.60694</v>
      </c>
      <c r="AA53" s="175">
        <v>33.117939999999997</v>
      </c>
      <c r="AB53" s="175">
        <v>8.3852899999999994E-2</v>
      </c>
      <c r="AC53" s="176">
        <v>85.774918987104144</v>
      </c>
      <c r="AD53" s="175">
        <v>88.056449890136719</v>
      </c>
      <c r="AE53" s="178">
        <v>80.312889099121094</v>
      </c>
      <c r="AF53" s="178">
        <v>93.018974304199219</v>
      </c>
      <c r="AG53" s="176">
        <v>2.1544362562545132</v>
      </c>
      <c r="AH53" s="175">
        <v>3.1078519821166992</v>
      </c>
      <c r="AI53" s="178">
        <v>0.86270689964294434</v>
      </c>
      <c r="AJ53" s="178">
        <v>10.572728157043457</v>
      </c>
      <c r="AK53" s="176"/>
      <c r="AL53" s="176"/>
      <c r="AM53" s="175">
        <v>83.058540344238295</v>
      </c>
      <c r="AN53" s="178">
        <v>67.436447143554702</v>
      </c>
      <c r="AO53" s="178">
        <v>92.067634582519503</v>
      </c>
      <c r="AP53" s="175">
        <v>36.065765109742699</v>
      </c>
      <c r="AQ53" s="178">
        <v>29.337678503933201</v>
      </c>
      <c r="AR53" s="178">
        <v>43.389378775873702</v>
      </c>
    </row>
    <row r="54" spans="1:44">
      <c r="A54" t="s">
        <v>280</v>
      </c>
      <c r="B54" t="s">
        <v>126</v>
      </c>
      <c r="C54">
        <v>2019</v>
      </c>
      <c r="D54" s="176">
        <v>76.189544317183248</v>
      </c>
      <c r="E54" s="175">
        <v>79.902450561523438</v>
      </c>
      <c r="F54" s="178">
        <v>61.486984252929688</v>
      </c>
      <c r="G54" s="178">
        <v>90.826133728027344</v>
      </c>
      <c r="H54" s="176">
        <v>66.320986945940234</v>
      </c>
      <c r="I54" s="175">
        <v>70.527267456054688</v>
      </c>
      <c r="J54" s="178">
        <v>58.104904174804688</v>
      </c>
      <c r="K54" s="178">
        <v>80.50225830078125</v>
      </c>
      <c r="L54" s="176">
        <v>7.8268475801306394</v>
      </c>
      <c r="M54" s="175">
        <v>13.891620635986328</v>
      </c>
      <c r="N54" s="178">
        <v>7.0100822448730469</v>
      </c>
      <c r="O54" s="178">
        <v>25.664121627807617</v>
      </c>
      <c r="P54" s="176"/>
      <c r="Q54" s="175">
        <v>8.4122066497802734</v>
      </c>
      <c r="R54" s="178">
        <v>3.5571410655975342</v>
      </c>
      <c r="S54" s="178">
        <v>18.614822387695313</v>
      </c>
      <c r="T54" s="175">
        <v>0.80700000000000005</v>
      </c>
      <c r="U54" s="178">
        <v>0.18823999999999999</v>
      </c>
      <c r="V54" s="178">
        <v>3.3905900000000004</v>
      </c>
      <c r="W54" s="175">
        <v>5.2014829999999996</v>
      </c>
      <c r="X54" s="175">
        <v>31.660640000000001</v>
      </c>
      <c r="Y54" s="175">
        <v>4.2562099999999999E-2</v>
      </c>
      <c r="Z54" s="175">
        <v>2.9983780000000002</v>
      </c>
      <c r="AA54" s="175">
        <v>34.331650000000003</v>
      </c>
      <c r="AB54" s="175">
        <v>0.10221669999999999</v>
      </c>
      <c r="AC54" s="176">
        <v>36.938527948526207</v>
      </c>
      <c r="AD54" s="175">
        <v>36.456512451171875</v>
      </c>
      <c r="AE54" s="178">
        <v>28.367202758789063</v>
      </c>
      <c r="AF54" s="178">
        <v>45.390888214111328</v>
      </c>
      <c r="AG54" s="176">
        <v>0.58252771611631937</v>
      </c>
      <c r="AH54" s="175">
        <v>0.4637819230556488</v>
      </c>
      <c r="AI54" s="178">
        <v>0.20223371684551239</v>
      </c>
      <c r="AJ54" s="178">
        <v>1.0599963665008545</v>
      </c>
      <c r="AK54" s="176">
        <v>49.317481000000001</v>
      </c>
      <c r="AL54" s="176">
        <v>22.26459141737795</v>
      </c>
      <c r="AM54" s="175">
        <v>34.848846435546903</v>
      </c>
      <c r="AN54" s="178">
        <v>23.709077835083001</v>
      </c>
      <c r="AO54" s="178">
        <v>47.934078216552699</v>
      </c>
      <c r="AP54" s="175">
        <v>26.625063232318102</v>
      </c>
      <c r="AQ54" s="178">
        <v>20.681075839143901</v>
      </c>
      <c r="AR54" s="178">
        <v>33.554721040922502</v>
      </c>
    </row>
    <row r="55" spans="1:44">
      <c r="A55" t="s">
        <v>279</v>
      </c>
      <c r="B55" t="s">
        <v>125</v>
      </c>
      <c r="C55">
        <v>2019</v>
      </c>
      <c r="D55" s="176">
        <v>95.642464457821092</v>
      </c>
      <c r="E55" s="175">
        <v>95.079673767089844</v>
      </c>
      <c r="F55" s="178">
        <v>91.910690307617188</v>
      </c>
      <c r="G55" s="178">
        <v>97.047096252441406</v>
      </c>
      <c r="H55" s="176">
        <v>95.21553107839685</v>
      </c>
      <c r="I55" s="175">
        <v>95.079673767089844</v>
      </c>
      <c r="J55" s="178">
        <v>91.246200561523438</v>
      </c>
      <c r="K55" s="178">
        <v>98.043403625488281</v>
      </c>
      <c r="L55" s="176">
        <v>88.198736465532903</v>
      </c>
      <c r="M55" s="175">
        <v>89.975181579589844</v>
      </c>
      <c r="N55" s="178">
        <v>82.424697875976563</v>
      </c>
      <c r="O55" s="178">
        <v>94.498428344726563</v>
      </c>
      <c r="P55" s="176"/>
      <c r="Q55" s="175">
        <v>53.346084594726563</v>
      </c>
      <c r="R55" s="178">
        <v>40.202789306640625</v>
      </c>
      <c r="S55" s="178">
        <v>66.040740966796875</v>
      </c>
      <c r="T55" s="175">
        <v>36.117899999999999</v>
      </c>
      <c r="U55" s="178">
        <v>29.378359999999997</v>
      </c>
      <c r="V55" s="178">
        <v>43.452239999999996</v>
      </c>
      <c r="W55" s="175">
        <v>17.343800000000002</v>
      </c>
      <c r="X55" s="175">
        <v>17.55443</v>
      </c>
      <c r="Y55" s="175">
        <v>4.3153400000000001E-2</v>
      </c>
      <c r="Z55" s="175">
        <v>25.80322</v>
      </c>
      <c r="AA55" s="175">
        <v>23.29609</v>
      </c>
      <c r="AB55" s="175">
        <v>0.35008840000000002</v>
      </c>
      <c r="AC55" s="176">
        <v>82.844380132538731</v>
      </c>
      <c r="AD55" s="175">
        <v>81.044723510742188</v>
      </c>
      <c r="AE55" s="178">
        <v>73.251091003417969</v>
      </c>
      <c r="AF55" s="178">
        <v>86.971466064453125</v>
      </c>
      <c r="AG55" s="176">
        <v>40.714397589818908</v>
      </c>
      <c r="AH55" s="175">
        <v>33.952022552490234</v>
      </c>
      <c r="AI55" s="178">
        <v>17.024993896484375</v>
      </c>
      <c r="AJ55" s="178">
        <v>56.291259765625</v>
      </c>
      <c r="AK55" s="176"/>
      <c r="AL55" s="176"/>
      <c r="AM55" s="175">
        <v>84.553047180175795</v>
      </c>
      <c r="AN55" s="178">
        <v>72.749984741210895</v>
      </c>
      <c r="AO55" s="178">
        <v>91.818664550781193</v>
      </c>
      <c r="AP55" s="175">
        <v>36.358428106495701</v>
      </c>
      <c r="AQ55" s="178">
        <v>29.690711518673801</v>
      </c>
      <c r="AR55" s="178">
        <v>43.595080488994498</v>
      </c>
    </row>
    <row r="56" spans="1:44">
      <c r="A56" t="s">
        <v>282</v>
      </c>
      <c r="B56" t="s">
        <v>128</v>
      </c>
      <c r="C56">
        <v>2019</v>
      </c>
      <c r="D56" s="176">
        <v>94.954199853391785</v>
      </c>
      <c r="E56" s="175">
        <v>94.888374328613281</v>
      </c>
      <c r="F56" s="178">
        <v>90.91552734375</v>
      </c>
      <c r="G56" s="178">
        <v>97.177742004394531</v>
      </c>
      <c r="H56" s="176">
        <v>90.028698955837243</v>
      </c>
      <c r="I56" s="175">
        <v>91.211280822753906</v>
      </c>
      <c r="J56" s="178">
        <v>87.010696411132813</v>
      </c>
      <c r="K56" s="178">
        <v>94.144859313964844</v>
      </c>
      <c r="L56" s="176">
        <v>64.3419810503825</v>
      </c>
      <c r="M56" s="175">
        <v>65.999931335449219</v>
      </c>
      <c r="N56" s="178">
        <v>51.092826843261719</v>
      </c>
      <c r="O56" s="178">
        <v>78.293663024902344</v>
      </c>
      <c r="P56" s="176"/>
      <c r="Q56" s="175">
        <v>57.019569396972656</v>
      </c>
      <c r="R56" s="178">
        <v>41.698314666748047</v>
      </c>
      <c r="S56" s="178">
        <v>71.104591369628906</v>
      </c>
      <c r="T56" s="175">
        <v>29.13937</v>
      </c>
      <c r="U56" s="178">
        <v>7.43133</v>
      </c>
      <c r="V56" s="178">
        <v>67.808749999999989</v>
      </c>
      <c r="W56" s="175">
        <v>21.595849999999999</v>
      </c>
      <c r="X56" s="175">
        <v>5.2058260000000001</v>
      </c>
      <c r="Y56" s="175">
        <v>0.1178401</v>
      </c>
      <c r="Z56" s="175">
        <v>16.46585</v>
      </c>
      <c r="AA56" s="175">
        <v>2.3896130000000002</v>
      </c>
      <c r="AB56" s="175">
        <v>6.3319399999999998E-2</v>
      </c>
      <c r="AC56" s="176">
        <v>68.334810018925012</v>
      </c>
      <c r="AD56" s="175">
        <v>70.643943786621094</v>
      </c>
      <c r="AE56" s="178">
        <v>65.507339477539063</v>
      </c>
      <c r="AF56" s="178">
        <v>75.303985595703125</v>
      </c>
      <c r="AG56" s="176">
        <v>12.22289084322265</v>
      </c>
      <c r="AH56" s="175">
        <v>9.7036600112915039</v>
      </c>
      <c r="AI56" s="178">
        <v>5.0922460556030273</v>
      </c>
      <c r="AJ56" s="178">
        <v>17.711738586425781</v>
      </c>
      <c r="AK56" s="176"/>
      <c r="AL56" s="176">
        <v>67.687825841368209</v>
      </c>
      <c r="AM56" s="175">
        <v>73.789863586425795</v>
      </c>
      <c r="AN56" s="178">
        <v>60.187519073486293</v>
      </c>
      <c r="AO56" s="178">
        <v>83.981681823730497</v>
      </c>
      <c r="AP56" s="175">
        <v>28.259575839385999</v>
      </c>
      <c r="AQ56" s="178">
        <v>23.079392720559799</v>
      </c>
      <c r="AR56" s="178">
        <v>34.087208135378603</v>
      </c>
    </row>
    <row r="57" spans="1:44">
      <c r="A57" t="s">
        <v>281</v>
      </c>
      <c r="B57" t="s">
        <v>127</v>
      </c>
      <c r="C57">
        <v>2019</v>
      </c>
      <c r="D57" s="176">
        <v>92.498778436745951</v>
      </c>
      <c r="E57" s="175">
        <v>91.935844421386719</v>
      </c>
      <c r="F57" s="178">
        <v>88.119674682617188</v>
      </c>
      <c r="G57" s="178">
        <v>94.601295471191406</v>
      </c>
      <c r="H57" s="176">
        <v>91.647290283320643</v>
      </c>
      <c r="I57" s="175">
        <v>90.341117858886719</v>
      </c>
      <c r="J57" s="178">
        <v>85.390708923339844</v>
      </c>
      <c r="K57" s="178">
        <v>93.737091064453125</v>
      </c>
      <c r="L57" s="176">
        <v>65.864656104661464</v>
      </c>
      <c r="M57" s="175">
        <v>70.925285339355469</v>
      </c>
      <c r="N57" s="178">
        <v>55.913753509521484</v>
      </c>
      <c r="O57" s="178">
        <v>82.431411743164063</v>
      </c>
      <c r="P57" s="176"/>
      <c r="Q57" s="175">
        <v>47.576751708984375</v>
      </c>
      <c r="R57" s="178">
        <v>37.125045776367188</v>
      </c>
      <c r="S57" s="178">
        <v>58.245121002197266</v>
      </c>
      <c r="T57" s="175">
        <v>24.396789999999999</v>
      </c>
      <c r="U57" s="178">
        <v>7.1797899999999997</v>
      </c>
      <c r="V57" s="178">
        <v>57.378219999999999</v>
      </c>
      <c r="W57" s="175">
        <v>80.729929999999996</v>
      </c>
      <c r="X57" s="175">
        <v>3.0230190000000001</v>
      </c>
      <c r="Y57" s="175">
        <v>0.1025703</v>
      </c>
      <c r="Z57" s="175">
        <v>79.065669999999997</v>
      </c>
      <c r="AA57" s="175">
        <v>0.99465859999999995</v>
      </c>
      <c r="AB57" s="175">
        <v>4.08105E-2</v>
      </c>
      <c r="AC57" s="176">
        <v>83.856091291721185</v>
      </c>
      <c r="AD57" s="175">
        <v>83.35205078125</v>
      </c>
      <c r="AE57" s="178">
        <v>80.752677917480469</v>
      </c>
      <c r="AF57" s="178">
        <v>85.662704467773438</v>
      </c>
      <c r="AG57" s="176">
        <v>11.289753194297059</v>
      </c>
      <c r="AH57" s="175">
        <v>7.5357122421264648</v>
      </c>
      <c r="AI57" s="178">
        <v>2.607802152633667</v>
      </c>
      <c r="AJ57" s="178">
        <v>19.875398635864258</v>
      </c>
      <c r="AK57" s="176"/>
      <c r="AL57" s="176">
        <v>94.076380895711182</v>
      </c>
      <c r="AM57" s="175">
        <v>87.441955566406193</v>
      </c>
      <c r="AN57" s="178">
        <v>80.158721923828097</v>
      </c>
      <c r="AO57" s="178">
        <v>92.308235168457003</v>
      </c>
      <c r="AP57" s="175">
        <v>30.465371644775402</v>
      </c>
      <c r="AQ57" s="178">
        <v>24.686288266468999</v>
      </c>
      <c r="AR57" s="178">
        <v>36.933886434333402</v>
      </c>
    </row>
    <row r="58" spans="1:44">
      <c r="A58" t="s">
        <v>283</v>
      </c>
      <c r="B58" t="s">
        <v>129</v>
      </c>
      <c r="C58">
        <v>2019</v>
      </c>
      <c r="D58" s="176">
        <v>99.303947538828851</v>
      </c>
      <c r="E58" s="175">
        <v>99.194557189941406</v>
      </c>
      <c r="F58" s="178">
        <v>98.573554992675781</v>
      </c>
      <c r="G58" s="178">
        <v>99.54644775390625</v>
      </c>
      <c r="H58" s="176">
        <v>97.354645410539646</v>
      </c>
      <c r="I58" s="175">
        <v>96.892974853515625</v>
      </c>
      <c r="J58" s="178">
        <v>91.492630004882813</v>
      </c>
      <c r="K58" s="178">
        <v>98.906242370605469</v>
      </c>
      <c r="L58" s="176">
        <v>93.842183257169182</v>
      </c>
      <c r="M58" s="175">
        <v>95.053863525390625</v>
      </c>
      <c r="N58" s="178">
        <v>82.873260498046875</v>
      </c>
      <c r="O58" s="178">
        <v>98.706756591796875</v>
      </c>
      <c r="P58" s="176">
        <v>93.842183257169182</v>
      </c>
      <c r="Q58" s="175">
        <v>93.503562927246094</v>
      </c>
      <c r="R58" s="178">
        <v>88.982131958007813</v>
      </c>
      <c r="S58" s="178">
        <v>96.247764587402344</v>
      </c>
      <c r="T58" s="175">
        <v>81.290559999999999</v>
      </c>
      <c r="U58" s="178">
        <v>44.544650000000004</v>
      </c>
      <c r="V58" s="178">
        <v>95.918720000000008</v>
      </c>
      <c r="W58" s="175">
        <v>39.328040000000001</v>
      </c>
      <c r="X58" s="175">
        <v>2.7085050000000002</v>
      </c>
      <c r="Y58" s="175">
        <v>8.8796E-2</v>
      </c>
      <c r="Z58" s="175">
        <v>40.071910000000003</v>
      </c>
      <c r="AA58" s="175">
        <v>1.3031200000000001</v>
      </c>
      <c r="AB58" s="175">
        <v>0.11370669999999999</v>
      </c>
      <c r="AC58" s="176">
        <v>90.21605719195874</v>
      </c>
      <c r="AD58" s="175">
        <v>91.896133422851563</v>
      </c>
      <c r="AE58" s="178">
        <v>84.726387023925781</v>
      </c>
      <c r="AF58" s="178">
        <v>95.864524841308594</v>
      </c>
      <c r="AG58" s="176">
        <v>34.720916291100451</v>
      </c>
      <c r="AH58" s="175">
        <v>24.721569061279297</v>
      </c>
      <c r="AI58" s="178">
        <v>8.1308555603027344</v>
      </c>
      <c r="AJ58" s="178">
        <v>54.925571441650391</v>
      </c>
      <c r="AK58" s="176">
        <v>43.904290000000003</v>
      </c>
      <c r="AL58" s="176"/>
      <c r="AM58" s="175">
        <v>85.911659240722699</v>
      </c>
      <c r="AN58" s="178">
        <v>51.631725311279297</v>
      </c>
      <c r="AO58" s="178">
        <v>97.209510803222699</v>
      </c>
      <c r="AP58" s="175">
        <v>23.6265223150642</v>
      </c>
      <c r="AQ58" s="178">
        <v>1.3646404625438</v>
      </c>
      <c r="AR58" s="178">
        <v>87.369234431170398</v>
      </c>
    </row>
    <row r="59" spans="1:44">
      <c r="A59" t="s">
        <v>284</v>
      </c>
      <c r="B59" t="s">
        <v>130</v>
      </c>
      <c r="C59">
        <v>2019</v>
      </c>
      <c r="D59" s="176">
        <v>98.709915704657035</v>
      </c>
      <c r="E59" s="175">
        <v>98.123443603515625</v>
      </c>
      <c r="F59" s="178">
        <v>95.605003356933594</v>
      </c>
      <c r="G59" s="178">
        <v>99.210670471191406</v>
      </c>
      <c r="H59" s="176">
        <v>97.778783991041323</v>
      </c>
      <c r="I59" s="175">
        <v>97.941612243652344</v>
      </c>
      <c r="J59" s="178">
        <v>96.195854187011719</v>
      </c>
      <c r="K59" s="178">
        <v>98.895423889160156</v>
      </c>
      <c r="L59" s="176">
        <v>93.244069810554024</v>
      </c>
      <c r="M59" s="175">
        <v>93.33935546875</v>
      </c>
      <c r="N59" s="178">
        <v>86.517471313476563</v>
      </c>
      <c r="O59" s="178">
        <v>96.835746765136719</v>
      </c>
      <c r="P59" s="176">
        <v>59.356630002225927</v>
      </c>
      <c r="Q59" s="175">
        <v>58.798294067382813</v>
      </c>
      <c r="R59" s="178">
        <v>37.252593994140625</v>
      </c>
      <c r="S59" s="178">
        <v>77.428413391113281</v>
      </c>
      <c r="T59" s="175">
        <v>34.768860000000004</v>
      </c>
      <c r="U59" s="178">
        <v>24.214930000000003</v>
      </c>
      <c r="V59" s="178">
        <v>47.065919999999998</v>
      </c>
      <c r="W59" s="175">
        <v>12.96698</v>
      </c>
      <c r="X59" s="175">
        <v>3.2161330000000001</v>
      </c>
      <c r="Y59" s="175">
        <v>9.2141299999999995E-2</v>
      </c>
      <c r="Z59" s="175">
        <v>8.9857080000000007</v>
      </c>
      <c r="AA59" s="175">
        <v>2.2750379999999999</v>
      </c>
      <c r="AB59" s="175">
        <v>0.15865270000000001</v>
      </c>
      <c r="AC59" s="176">
        <v>99.473636833777277</v>
      </c>
      <c r="AD59" s="175">
        <v>95.167037963867188</v>
      </c>
      <c r="AE59" s="178">
        <v>93.197792053222656</v>
      </c>
      <c r="AF59" s="178">
        <v>96.587059020996094</v>
      </c>
      <c r="AG59" s="176">
        <v>29.760584749960842</v>
      </c>
      <c r="AH59" s="175">
        <v>26.847690582275391</v>
      </c>
      <c r="AI59" s="178">
        <v>15.677550315856934</v>
      </c>
      <c r="AJ59" s="178">
        <v>42.011302947998047</v>
      </c>
      <c r="AK59" s="176"/>
      <c r="AL59" s="176">
        <v>96.697594360974009</v>
      </c>
      <c r="AM59" s="175">
        <v>95.445289611816406</v>
      </c>
      <c r="AN59" s="178">
        <v>92.448371887207003</v>
      </c>
      <c r="AO59" s="178">
        <v>97.287750244140597</v>
      </c>
      <c r="AP59" s="175">
        <v>24.830883912494699</v>
      </c>
      <c r="AQ59" s="178">
        <v>1.1775330400620601</v>
      </c>
      <c r="AR59" s="178">
        <v>90.155285391893003</v>
      </c>
    </row>
    <row r="60" spans="1:44">
      <c r="A60" t="s">
        <v>285</v>
      </c>
      <c r="B60" t="s">
        <v>131</v>
      </c>
      <c r="C60">
        <v>2019</v>
      </c>
      <c r="D60" s="176">
        <v>96.383002353716236</v>
      </c>
      <c r="E60" s="175">
        <v>96.545021057128906</v>
      </c>
      <c r="F60" s="178">
        <v>94.025588989257813</v>
      </c>
      <c r="G60" s="178">
        <v>98.024322509765625</v>
      </c>
      <c r="H60" s="176">
        <v>90.997350410675011</v>
      </c>
      <c r="I60" s="175">
        <v>95.479110717773438</v>
      </c>
      <c r="J60" s="178">
        <v>90.275489807128906</v>
      </c>
      <c r="K60" s="178">
        <v>97.961143493652344</v>
      </c>
      <c r="L60" s="176">
        <v>84.135432715564022</v>
      </c>
      <c r="M60" s="175">
        <v>91.620758056640625</v>
      </c>
      <c r="N60" s="178">
        <v>76.268028259277344</v>
      </c>
      <c r="O60" s="178">
        <v>97.382354736328125</v>
      </c>
      <c r="P60" s="176"/>
      <c r="Q60" s="175">
        <v>65.59796142578125</v>
      </c>
      <c r="R60" s="178">
        <v>51.78216552734375</v>
      </c>
      <c r="S60" s="178">
        <v>77.198265075683594</v>
      </c>
      <c r="T60" s="175">
        <v>45.741489999999999</v>
      </c>
      <c r="U60" s="178">
        <v>16.701260000000001</v>
      </c>
      <c r="V60" s="178">
        <v>77.996129999999994</v>
      </c>
      <c r="W60" s="175">
        <v>25.795760000000001</v>
      </c>
      <c r="X60" s="175">
        <v>17.644290000000002</v>
      </c>
      <c r="Y60" s="175">
        <v>4.2482600000000002E-2</v>
      </c>
      <c r="Z60" s="175">
        <v>37.456359999999997</v>
      </c>
      <c r="AA60" s="175">
        <v>19.156469999999999</v>
      </c>
      <c r="AB60" s="175">
        <v>9.9185800000000005E-2</v>
      </c>
      <c r="AC60" s="176">
        <v>86.631601815362373</v>
      </c>
      <c r="AD60" s="175">
        <v>87.4398193359375</v>
      </c>
      <c r="AE60" s="178">
        <v>84.502273559570313</v>
      </c>
      <c r="AF60" s="178">
        <v>89.887199401855469</v>
      </c>
      <c r="AG60" s="176">
        <v>22.771723776997401</v>
      </c>
      <c r="AH60" s="175">
        <v>19.888944625854492</v>
      </c>
      <c r="AI60" s="178">
        <v>11.959892272949219</v>
      </c>
      <c r="AJ60" s="178">
        <v>31.211153030395508</v>
      </c>
      <c r="AK60" s="176">
        <v>43.127304000000002</v>
      </c>
      <c r="AL60" s="176"/>
      <c r="AM60" s="175">
        <v>79.141067504882798</v>
      </c>
      <c r="AN60" s="178">
        <v>64.816276550292997</v>
      </c>
      <c r="AO60" s="178">
        <v>88.654502868652301</v>
      </c>
      <c r="AP60" s="175">
        <v>35.298622856997703</v>
      </c>
      <c r="AQ60" s="178">
        <v>28.788778746307496</v>
      </c>
      <c r="AR60" s="178">
        <v>42.403952999098301</v>
      </c>
    </row>
    <row r="61" spans="1:44">
      <c r="A61" t="s">
        <v>286</v>
      </c>
      <c r="B61" t="s">
        <v>132</v>
      </c>
      <c r="C61">
        <v>2019</v>
      </c>
      <c r="D61" s="176">
        <v>99.101346821955204</v>
      </c>
      <c r="E61" s="175">
        <v>99.483314514160156</v>
      </c>
      <c r="F61" s="178">
        <v>98.733078002929688</v>
      </c>
      <c r="G61" s="178">
        <v>99.79022216796875</v>
      </c>
      <c r="H61" s="176">
        <v>98.953985805743898</v>
      </c>
      <c r="I61" s="175">
        <v>99.483314514160156</v>
      </c>
      <c r="J61" s="178">
        <v>99.117362976074219</v>
      </c>
      <c r="K61" s="178">
        <v>99.871978759765625</v>
      </c>
      <c r="L61" s="176">
        <v>98.456293558762084</v>
      </c>
      <c r="M61" s="175">
        <v>99.218093872070313</v>
      </c>
      <c r="N61" s="178">
        <v>97.698646545410156</v>
      </c>
      <c r="O61" s="178">
        <v>99.737037658691406</v>
      </c>
      <c r="P61" s="176">
        <v>83.536719809548302</v>
      </c>
      <c r="Q61" s="175">
        <v>84.486907958984375</v>
      </c>
      <c r="R61" s="178">
        <v>68.792350769042969</v>
      </c>
      <c r="S61" s="178">
        <v>93.082267761230469</v>
      </c>
      <c r="T61" s="175">
        <v>70.789630000000002</v>
      </c>
      <c r="U61" s="178">
        <v>30.72353</v>
      </c>
      <c r="V61" s="178">
        <v>92.978909999999999</v>
      </c>
      <c r="W61" s="175">
        <v>9.7303119999999996</v>
      </c>
      <c r="X61" s="175">
        <v>1.88941</v>
      </c>
      <c r="Y61" s="175">
        <v>7.7572699999999994E-2</v>
      </c>
      <c r="Z61" s="175">
        <v>30.240459999999999</v>
      </c>
      <c r="AA61" s="175">
        <v>1.2195689999999999</v>
      </c>
      <c r="AB61" s="175">
        <v>1.3885E-3</v>
      </c>
      <c r="AC61" s="176">
        <v>97.16183197488408</v>
      </c>
      <c r="AD61" s="175">
        <v>98.879257202148438</v>
      </c>
      <c r="AE61" s="178">
        <v>98.272453308105469</v>
      </c>
      <c r="AF61" s="178">
        <v>99.274490356445313</v>
      </c>
      <c r="AG61" s="176">
        <v>66.544358202833664</v>
      </c>
      <c r="AH61" s="175">
        <v>66.882057189941406</v>
      </c>
      <c r="AI61" s="178">
        <v>49.004047393798828</v>
      </c>
      <c r="AJ61" s="178">
        <v>80.931327819824219</v>
      </c>
      <c r="AK61" s="176"/>
      <c r="AL61" s="176"/>
      <c r="AM61" s="175">
        <v>94.904441833496094</v>
      </c>
      <c r="AN61" s="178">
        <v>71.248237609863295</v>
      </c>
      <c r="AO61" s="178">
        <v>99.290702819824205</v>
      </c>
      <c r="AP61" s="175">
        <v>24.7625598566093</v>
      </c>
      <c r="AQ61" s="178">
        <v>1.1870604049098299</v>
      </c>
      <c r="AR61" s="178">
        <v>90.017012235425696</v>
      </c>
    </row>
    <row r="62" spans="1:44">
      <c r="A62" t="s">
        <v>287</v>
      </c>
      <c r="B62" t="s">
        <v>133</v>
      </c>
      <c r="C62">
        <v>2019</v>
      </c>
      <c r="D62" s="176">
        <v>97.368273222927371</v>
      </c>
      <c r="E62" s="175">
        <v>98.410385131835938</v>
      </c>
      <c r="F62" s="178">
        <v>96.105674743652344</v>
      </c>
      <c r="G62" s="178">
        <v>99.360221862792969</v>
      </c>
      <c r="H62" s="176">
        <v>95.427027250225848</v>
      </c>
      <c r="I62" s="175">
        <v>98.278312683105469</v>
      </c>
      <c r="J62" s="178">
        <v>96.864837646484375</v>
      </c>
      <c r="K62" s="178">
        <v>99.060707092285156</v>
      </c>
      <c r="L62" s="176">
        <v>89.321261950878977</v>
      </c>
      <c r="M62" s="175">
        <v>90.708786010742188</v>
      </c>
      <c r="N62" s="178">
        <v>80.192977905273438</v>
      </c>
      <c r="O62" s="178">
        <v>95.92529296875</v>
      </c>
      <c r="P62" s="176">
        <v>89.321261950878977</v>
      </c>
      <c r="Q62" s="175">
        <v>74.577606201171875</v>
      </c>
      <c r="R62" s="178">
        <v>53.904129028320313</v>
      </c>
      <c r="S62" s="178">
        <v>88.036972045898438</v>
      </c>
      <c r="T62" s="175">
        <v>61.240130000000001</v>
      </c>
      <c r="U62" s="178">
        <v>26.80321</v>
      </c>
      <c r="V62" s="178">
        <v>87.20787</v>
      </c>
      <c r="W62" s="175">
        <v>42.463239999999999</v>
      </c>
      <c r="X62" s="175">
        <v>2.0086780000000002</v>
      </c>
      <c r="Y62" s="175">
        <v>0.1014665</v>
      </c>
      <c r="Z62" s="175">
        <v>61.793689999999998</v>
      </c>
      <c r="AA62" s="175">
        <v>0.68549230000000005</v>
      </c>
      <c r="AB62" s="175">
        <v>6.6195400000000001E-2</v>
      </c>
      <c r="AC62" s="176">
        <v>97.869693344229972</v>
      </c>
      <c r="AD62" s="175">
        <v>98.20330810546875</v>
      </c>
      <c r="AE62" s="178">
        <v>97.207038879394531</v>
      </c>
      <c r="AF62" s="178">
        <v>98.848411560058594</v>
      </c>
      <c r="AG62" s="176">
        <v>37.305411729050668</v>
      </c>
      <c r="AH62" s="175">
        <v>39.805721282958984</v>
      </c>
      <c r="AI62" s="178">
        <v>20.78123664855957</v>
      </c>
      <c r="AJ62" s="178">
        <v>62.504776000976563</v>
      </c>
      <c r="AK62" s="176">
        <v>82.083669999999998</v>
      </c>
      <c r="AL62" s="176">
        <v>99.009829073637647</v>
      </c>
      <c r="AM62" s="175">
        <v>98.585952758789105</v>
      </c>
      <c r="AN62" s="178">
        <v>97.180702209472699</v>
      </c>
      <c r="AO62" s="178">
        <v>99.295845031738295</v>
      </c>
      <c r="AP62" s="175">
        <v>25.227636664326504</v>
      </c>
      <c r="AQ62" s="178">
        <v>1.2485839322427301</v>
      </c>
      <c r="AR62" s="178">
        <v>90.00319094185781</v>
      </c>
    </row>
    <row r="63" spans="1:44">
      <c r="A63" t="s">
        <v>288</v>
      </c>
      <c r="B63" t="s">
        <v>134</v>
      </c>
      <c r="C63">
        <v>2019</v>
      </c>
      <c r="D63" s="176">
        <v>70.349732798773488</v>
      </c>
      <c r="E63" s="175">
        <v>70.75830078125</v>
      </c>
      <c r="F63" s="178">
        <v>61.054019927978516</v>
      </c>
      <c r="G63" s="178">
        <v>78.880950927734375</v>
      </c>
      <c r="H63" s="176">
        <v>60.954476660684257</v>
      </c>
      <c r="I63" s="175">
        <v>62.033184051513672</v>
      </c>
      <c r="J63" s="178">
        <v>55.559261322021484</v>
      </c>
      <c r="K63" s="178">
        <v>68.105415344238281</v>
      </c>
      <c r="L63" s="176">
        <v>32.552095138765957</v>
      </c>
      <c r="M63" s="175">
        <v>36.015548706054688</v>
      </c>
      <c r="N63" s="178">
        <v>21.177724838256836</v>
      </c>
      <c r="O63" s="178">
        <v>54.112361907958984</v>
      </c>
      <c r="P63" s="176"/>
      <c r="Q63" s="175">
        <v>23.037288665771484</v>
      </c>
      <c r="R63" s="178">
        <v>16.242462158203125</v>
      </c>
      <c r="S63" s="178">
        <v>31.602144241333008</v>
      </c>
      <c r="T63" s="175">
        <v>7.3798399999999997</v>
      </c>
      <c r="U63" s="178">
        <v>1.3903300000000001</v>
      </c>
      <c r="V63" s="178">
        <v>31.047829999999998</v>
      </c>
      <c r="W63" s="175">
        <v>23.225899999999999</v>
      </c>
      <c r="X63" s="175">
        <v>13.72227</v>
      </c>
      <c r="Y63" s="175">
        <v>2.0219999999999998E-2</v>
      </c>
      <c r="Z63" s="175">
        <v>27.549130000000002</v>
      </c>
      <c r="AA63" s="175">
        <v>13.36003</v>
      </c>
      <c r="AB63" s="175">
        <v>0</v>
      </c>
      <c r="AC63" s="176">
        <v>32.625813328635282</v>
      </c>
      <c r="AD63" s="175">
        <v>29.939737319946289</v>
      </c>
      <c r="AE63" s="178">
        <v>24.936473846435547</v>
      </c>
      <c r="AF63" s="178">
        <v>35.47247314453125</v>
      </c>
      <c r="AG63" s="176">
        <v>5.6942818836155107</v>
      </c>
      <c r="AH63" s="175">
        <v>2.5493261814117432</v>
      </c>
      <c r="AI63" s="178">
        <v>1.1918660402297974</v>
      </c>
      <c r="AJ63" s="178">
        <v>5.3688421249389648</v>
      </c>
      <c r="AK63" s="176"/>
      <c r="AL63" s="176">
        <v>26.710915710460569</v>
      </c>
      <c r="AM63" s="175">
        <v>29.828096389770504</v>
      </c>
      <c r="AN63" s="178">
        <v>18.049446105956999</v>
      </c>
      <c r="AO63" s="178">
        <v>45.066272735595703</v>
      </c>
      <c r="AP63" s="175">
        <v>9.2338036668331203</v>
      </c>
      <c r="AQ63" s="178">
        <v>1.3468998657395699</v>
      </c>
      <c r="AR63" s="178">
        <v>43.118264154990698</v>
      </c>
    </row>
    <row r="64" spans="1:44">
      <c r="A64" t="s">
        <v>291</v>
      </c>
      <c r="B64" t="s">
        <v>137</v>
      </c>
      <c r="C64">
        <v>2019</v>
      </c>
      <c r="D64" s="176">
        <v>80.876182421302886</v>
      </c>
      <c r="E64" s="175">
        <v>82.979415893554688</v>
      </c>
      <c r="F64" s="178">
        <v>65.413497924804688</v>
      </c>
      <c r="G64" s="178">
        <v>92.629165649414063</v>
      </c>
      <c r="H64" s="176">
        <v>77.172973372998683</v>
      </c>
      <c r="I64" s="175">
        <v>79.495994567871094</v>
      </c>
      <c r="J64" s="178">
        <v>66.513229370117188</v>
      </c>
      <c r="K64" s="178">
        <v>88.328598022460938</v>
      </c>
      <c r="L64" s="176">
        <v>56.368900388288978</v>
      </c>
      <c r="M64" s="175">
        <v>59.640388488769531</v>
      </c>
      <c r="N64" s="178">
        <v>37.406429290771484</v>
      </c>
      <c r="O64" s="178">
        <v>78.513191223144531</v>
      </c>
      <c r="P64" s="176">
        <v>14.415487901486131</v>
      </c>
      <c r="Q64" s="175">
        <v>14.404108047485352</v>
      </c>
      <c r="R64" s="178">
        <v>6.1282057762145996</v>
      </c>
      <c r="S64" s="178">
        <v>30.254251480102539</v>
      </c>
      <c r="T64" s="175">
        <v>0.59821999999999997</v>
      </c>
      <c r="U64" s="178">
        <v>0.27777000000000002</v>
      </c>
      <c r="V64" s="178">
        <v>1.28362</v>
      </c>
      <c r="W64" s="175">
        <v>80.389539999999997</v>
      </c>
      <c r="X64" s="175">
        <v>0.42127900000000001</v>
      </c>
      <c r="Y64" s="175">
        <v>0.4288998</v>
      </c>
      <c r="Z64" s="175">
        <v>79.336150000000004</v>
      </c>
      <c r="AA64" s="175">
        <v>0.3984625</v>
      </c>
      <c r="AB64" s="175">
        <v>3.6187320000000001</v>
      </c>
      <c r="AC64" s="176">
        <v>45.208306937947057</v>
      </c>
      <c r="AD64" s="175">
        <v>45.269062042236328</v>
      </c>
      <c r="AE64" s="178">
        <v>36.155326843261719</v>
      </c>
      <c r="AF64" s="178">
        <v>54.711437225341797</v>
      </c>
      <c r="AG64" s="176">
        <v>11.157907295159051</v>
      </c>
      <c r="AH64" s="175">
        <v>7.699678897857666</v>
      </c>
      <c r="AI64" s="178">
        <v>3.1827654838562012</v>
      </c>
      <c r="AJ64" s="178">
        <v>17.470188140869141</v>
      </c>
      <c r="AK64" s="176"/>
      <c r="AL64" s="176">
        <v>55.519485737076103</v>
      </c>
      <c r="AM64" s="175">
        <v>54.556949615478501</v>
      </c>
      <c r="AN64" s="178">
        <v>36.8067436218262</v>
      </c>
      <c r="AO64" s="178">
        <v>71.219879150390597</v>
      </c>
      <c r="AP64" s="175">
        <v>13.927014763178999</v>
      </c>
      <c r="AQ64" s="178">
        <v>12.0141820173637</v>
      </c>
      <c r="AR64" s="178">
        <v>16.088709480397199</v>
      </c>
    </row>
    <row r="65" spans="1:44">
      <c r="A65" t="s">
        <v>289</v>
      </c>
      <c r="B65" t="s">
        <v>135</v>
      </c>
      <c r="C65">
        <v>2019</v>
      </c>
      <c r="D65" s="176">
        <v>92.603899994057613</v>
      </c>
      <c r="E65" s="175">
        <v>92.813232421875</v>
      </c>
      <c r="F65" s="178">
        <v>85.36053466796875</v>
      </c>
      <c r="G65" s="178">
        <v>96.622032165527344</v>
      </c>
      <c r="H65" s="176">
        <v>90.716965025112216</v>
      </c>
      <c r="I65" s="175">
        <v>89.538284301757813</v>
      </c>
      <c r="J65" s="178">
        <v>82.728050231933594</v>
      </c>
      <c r="K65" s="178">
        <v>93.862495422363281</v>
      </c>
      <c r="L65" s="176">
        <v>70.618879281346651</v>
      </c>
      <c r="M65" s="175">
        <v>71.949562072753906</v>
      </c>
      <c r="N65" s="178">
        <v>49.076545715332031</v>
      </c>
      <c r="O65" s="178">
        <v>87.223480224609375</v>
      </c>
      <c r="P65" s="176">
        <v>69.26229009038174</v>
      </c>
      <c r="Q65" s="175">
        <v>70.747184753417969</v>
      </c>
      <c r="R65" s="178">
        <v>52.197383880615234</v>
      </c>
      <c r="S65" s="178">
        <v>84.268218994140625</v>
      </c>
      <c r="T65" s="175">
        <v>50.426830000000002</v>
      </c>
      <c r="U65" s="178">
        <v>16.454070000000002</v>
      </c>
      <c r="V65" s="178">
        <v>84.009990000000002</v>
      </c>
      <c r="W65" s="175">
        <v>50.402619999999999</v>
      </c>
      <c r="X65" s="175">
        <v>2.042748</v>
      </c>
      <c r="Y65" s="175">
        <v>0.1163361</v>
      </c>
      <c r="Z65" s="175">
        <v>38.407760000000003</v>
      </c>
      <c r="AA65" s="175">
        <v>0.64899430000000002</v>
      </c>
      <c r="AB65" s="175">
        <v>0.26082159999999999</v>
      </c>
      <c r="AC65" s="176">
        <v>97.777713052257624</v>
      </c>
      <c r="AD65" s="175">
        <v>97.829360961914063</v>
      </c>
      <c r="AE65" s="178">
        <v>96.923179626464844</v>
      </c>
      <c r="AF65" s="178">
        <v>98.472862243652344</v>
      </c>
      <c r="AG65" s="176">
        <v>15.51126283736947</v>
      </c>
      <c r="AH65" s="175">
        <v>16.850696563720703</v>
      </c>
      <c r="AI65" s="178">
        <v>7.2961864471435547</v>
      </c>
      <c r="AJ65" s="178">
        <v>34.289176940917969</v>
      </c>
      <c r="AK65" s="176"/>
      <c r="AL65" s="176">
        <v>98.284263704875698</v>
      </c>
      <c r="AM65" s="175">
        <v>93.675476074218807</v>
      </c>
      <c r="AN65" s="178">
        <v>89.795974731445298</v>
      </c>
      <c r="AO65" s="178">
        <v>96.143363952636705</v>
      </c>
      <c r="AP65" s="175">
        <v>24.607307438861099</v>
      </c>
      <c r="AQ65" s="178">
        <v>1.3459834100688099</v>
      </c>
      <c r="AR65" s="178">
        <v>88.646799376810407</v>
      </c>
    </row>
    <row r="66" spans="1:44">
      <c r="A66" t="s">
        <v>292</v>
      </c>
      <c r="B66" t="s">
        <v>138</v>
      </c>
      <c r="C66">
        <v>2019</v>
      </c>
      <c r="D66" s="176">
        <v>88.702794819351993</v>
      </c>
      <c r="E66" s="175">
        <v>86.299598693847656</v>
      </c>
      <c r="F66" s="178">
        <v>74.338905334472656</v>
      </c>
      <c r="G66" s="178">
        <v>93.195663452148438</v>
      </c>
      <c r="H66" s="176">
        <v>85.099826320187631</v>
      </c>
      <c r="I66" s="175">
        <v>81.777976989746094</v>
      </c>
      <c r="J66" s="178">
        <v>73.111572265625</v>
      </c>
      <c r="K66" s="178">
        <v>88.105552673339844</v>
      </c>
      <c r="L66" s="176">
        <v>84.059022880244569</v>
      </c>
      <c r="M66" s="175">
        <v>78.097785949707031</v>
      </c>
      <c r="N66" s="178">
        <v>60.856128692626953</v>
      </c>
      <c r="O66" s="178">
        <v>89.104690551757813</v>
      </c>
      <c r="P66" s="176">
        <v>17.58769484491182</v>
      </c>
      <c r="Q66" s="175">
        <v>17.817127227783203</v>
      </c>
      <c r="R66" s="178">
        <v>9.0666170120239258</v>
      </c>
      <c r="S66" s="178">
        <v>32.037574768066406</v>
      </c>
      <c r="T66" s="175">
        <v>7.4638200000000001</v>
      </c>
      <c r="U66" s="178">
        <v>3.9383799999999995</v>
      </c>
      <c r="V66" s="178">
        <v>13.69515</v>
      </c>
      <c r="W66" s="175">
        <v>56.083190000000002</v>
      </c>
      <c r="X66" s="175">
        <v>1.8691249999999999</v>
      </c>
      <c r="Y66" s="175">
        <v>0.1170075</v>
      </c>
      <c r="Z66" s="175">
        <v>53.500819999999997</v>
      </c>
      <c r="AA66" s="175">
        <v>0.82826390000000005</v>
      </c>
      <c r="AB66" s="175">
        <v>1.2500600000000001E-2</v>
      </c>
      <c r="AC66" s="176">
        <v>79.296171802313182</v>
      </c>
      <c r="AD66" s="175">
        <v>69.816886901855469</v>
      </c>
      <c r="AE66" s="178">
        <v>54.049934387207031</v>
      </c>
      <c r="AF66" s="178">
        <v>81.977645874023438</v>
      </c>
      <c r="AG66" s="176">
        <v>1.11720526513552</v>
      </c>
      <c r="AH66" s="175">
        <v>0.80465757846832275</v>
      </c>
      <c r="AI66" s="178">
        <v>0.20784549415111542</v>
      </c>
      <c r="AJ66" s="178">
        <v>3.0625741481781006</v>
      </c>
      <c r="AK66" s="176">
        <v>26.355274000000001</v>
      </c>
      <c r="AL66" s="176">
        <v>55.450904433107432</v>
      </c>
      <c r="AM66" s="175">
        <v>67.432243347167997</v>
      </c>
      <c r="AN66" s="178">
        <v>48.484489440917997</v>
      </c>
      <c r="AO66" s="178">
        <v>81.9984130859375</v>
      </c>
      <c r="AP66" s="175">
        <v>15.0788951917084</v>
      </c>
      <c r="AQ66" s="178">
        <v>13.195332948666799</v>
      </c>
      <c r="AR66" s="178">
        <v>17.178118324318099</v>
      </c>
    </row>
    <row r="67" spans="1:44">
      <c r="A67" t="s">
        <v>293</v>
      </c>
      <c r="B67" t="s">
        <v>139</v>
      </c>
      <c r="C67">
        <v>2019</v>
      </c>
      <c r="D67" s="176">
        <v>100</v>
      </c>
      <c r="E67" s="175">
        <v>99.779609680175781</v>
      </c>
      <c r="F67" s="178">
        <v>94.442276000976563</v>
      </c>
      <c r="G67" s="178">
        <v>99.991706848144531</v>
      </c>
      <c r="H67" s="176">
        <v>92.6</v>
      </c>
      <c r="I67" s="175">
        <v>98.946640014648438</v>
      </c>
      <c r="J67" s="178">
        <v>87.14410400390625</v>
      </c>
      <c r="K67" s="178">
        <v>99.923233032226563</v>
      </c>
      <c r="L67" s="176">
        <v>89.6</v>
      </c>
      <c r="M67" s="175">
        <v>98.946640014648438</v>
      </c>
      <c r="N67" s="178">
        <v>75.21075439453125</v>
      </c>
      <c r="O67" s="178">
        <v>99.976829528808594</v>
      </c>
      <c r="P67" s="176">
        <v>47.7</v>
      </c>
      <c r="Q67" s="175">
        <v>84.35699462890625</v>
      </c>
      <c r="R67" s="178">
        <v>16.833295822143555</v>
      </c>
      <c r="S67" s="178">
        <v>99.308799743652344</v>
      </c>
      <c r="T67" s="175">
        <v>73.619</v>
      </c>
      <c r="U67" s="178">
        <v>34.387329999999999</v>
      </c>
      <c r="V67" s="178">
        <v>93.694389999999999</v>
      </c>
      <c r="W67" s="175">
        <v>39.461419999999997</v>
      </c>
      <c r="X67" s="175">
        <v>2.5922830000000001</v>
      </c>
      <c r="Y67" s="175">
        <v>7.9308100000000006E-2</v>
      </c>
      <c r="Z67" s="175">
        <v>40.70693</v>
      </c>
      <c r="AA67" s="175">
        <v>1.3128359999999999</v>
      </c>
      <c r="AB67" s="175">
        <v>0.1064875</v>
      </c>
      <c r="AC67" s="176">
        <v>99.067379380969399</v>
      </c>
      <c r="AD67" s="175">
        <v>96.601844787597656</v>
      </c>
      <c r="AE67" s="178">
        <v>83.334007263183594</v>
      </c>
      <c r="AF67" s="178">
        <v>99.385063171386719</v>
      </c>
      <c r="AG67" s="176">
        <v>77.117342253164452</v>
      </c>
      <c r="AH67" s="175">
        <v>67.808792114257813</v>
      </c>
      <c r="AI67" s="178">
        <v>9.6119279861450195</v>
      </c>
      <c r="AJ67" s="178">
        <v>97.659461975097656</v>
      </c>
      <c r="AK67" s="176">
        <v>61.361446000000001</v>
      </c>
      <c r="AL67" s="176"/>
      <c r="AM67" s="175">
        <v>94.814628601074205</v>
      </c>
      <c r="AN67" s="178">
        <v>71.804367065429702</v>
      </c>
      <c r="AO67" s="178">
        <v>99.244064331054702</v>
      </c>
      <c r="AP67" s="175">
        <v>24.751213957527902</v>
      </c>
      <c r="AQ67" s="178">
        <v>1.18877919013024</v>
      </c>
      <c r="AR67" s="178">
        <v>89.992880844492191</v>
      </c>
    </row>
    <row r="68" spans="1:44">
      <c r="A68" t="s">
        <v>298</v>
      </c>
      <c r="B68" t="s">
        <v>144</v>
      </c>
      <c r="C68">
        <v>2019</v>
      </c>
      <c r="D68" s="176">
        <v>82.343331540903435</v>
      </c>
      <c r="E68" s="175">
        <v>83.659912109375</v>
      </c>
      <c r="F68" s="178">
        <v>74.16015625</v>
      </c>
      <c r="G68" s="178">
        <v>90.131904602050781</v>
      </c>
      <c r="H68" s="176">
        <v>71.83413492778989</v>
      </c>
      <c r="I68" s="175">
        <v>76.107757568359375</v>
      </c>
      <c r="J68" s="178">
        <v>66.94287109375</v>
      </c>
      <c r="K68" s="178">
        <v>83.363212585449219</v>
      </c>
      <c r="L68" s="176">
        <v>27.86700752512251</v>
      </c>
      <c r="M68" s="175">
        <v>28.456104278564453</v>
      </c>
      <c r="N68" s="178">
        <v>15.150279998779297</v>
      </c>
      <c r="O68" s="178">
        <v>46.977821350097656</v>
      </c>
      <c r="P68" s="176">
        <v>27.86700752512251</v>
      </c>
      <c r="Q68" s="175">
        <v>27.916584014892578</v>
      </c>
      <c r="R68" s="178">
        <v>17.836965560913086</v>
      </c>
      <c r="S68" s="178">
        <v>40.859565734863281</v>
      </c>
      <c r="T68" s="175">
        <v>15.54017</v>
      </c>
      <c r="U68" s="178">
        <v>10.162570000000001</v>
      </c>
      <c r="V68" s="178">
        <v>23.033760000000001</v>
      </c>
      <c r="W68" s="175">
        <v>7.6289920000000002</v>
      </c>
      <c r="X68" s="175">
        <v>3.1194649999999999</v>
      </c>
      <c r="Y68" s="175">
        <v>2.1012400000000001E-2</v>
      </c>
      <c r="Z68" s="175">
        <v>8.1089889999999993</v>
      </c>
      <c r="AA68" s="175">
        <v>1.6179410000000001</v>
      </c>
      <c r="AB68" s="175">
        <v>0</v>
      </c>
      <c r="AC68" s="176">
        <v>48.427924172909393</v>
      </c>
      <c r="AD68" s="175">
        <v>54.719631195068359</v>
      </c>
      <c r="AE68" s="178">
        <v>44.92584228515625</v>
      </c>
      <c r="AF68" s="178">
        <v>64.161148071289063</v>
      </c>
      <c r="AG68" s="176">
        <v>1.2193639600117601</v>
      </c>
      <c r="AH68" s="175">
        <v>0.57749724388122559</v>
      </c>
      <c r="AI68" s="178">
        <v>0.19510570168495178</v>
      </c>
      <c r="AJ68" s="178">
        <v>1.6966061592102051</v>
      </c>
      <c r="AK68" s="176"/>
      <c r="AL68" s="176">
        <v>5.4802285560740103</v>
      </c>
      <c r="AM68" s="175">
        <v>7.2214326858520499</v>
      </c>
      <c r="AN68" s="178">
        <v>3.8845396041870104</v>
      </c>
      <c r="AO68" s="178">
        <v>13.0360059738159</v>
      </c>
      <c r="AP68" s="175">
        <v>7.6396224344274497</v>
      </c>
      <c r="AQ68" s="178">
        <v>0.82132056398107112</v>
      </c>
      <c r="AR68" s="178">
        <v>45.241075797850002</v>
      </c>
    </row>
    <row r="69" spans="1:44">
      <c r="A69" t="s">
        <v>294</v>
      </c>
      <c r="B69" t="s">
        <v>140</v>
      </c>
      <c r="C69">
        <v>2019</v>
      </c>
      <c r="D69" s="176">
        <v>83.841199120833835</v>
      </c>
      <c r="E69" s="175">
        <v>83.841888427734375</v>
      </c>
      <c r="F69" s="178">
        <v>72.119819641113281</v>
      </c>
      <c r="G69" s="178">
        <v>91.234489440917969</v>
      </c>
      <c r="H69" s="176">
        <v>75.160223445458669</v>
      </c>
      <c r="I69" s="175">
        <v>76.675674438476563</v>
      </c>
      <c r="J69" s="178">
        <v>67.4215087890625</v>
      </c>
      <c r="K69" s="178">
        <v>83.927764892578125</v>
      </c>
      <c r="L69" s="176">
        <v>14.437597831032919</v>
      </c>
      <c r="M69" s="175">
        <v>14.967555046081543</v>
      </c>
      <c r="N69" s="178">
        <v>7.5302543640136719</v>
      </c>
      <c r="O69" s="178">
        <v>27.560993194580078</v>
      </c>
      <c r="P69" s="176"/>
      <c r="Q69" s="175">
        <v>14.274762153625488</v>
      </c>
      <c r="R69" s="178">
        <v>7.6650485992431641</v>
      </c>
      <c r="S69" s="178">
        <v>25.038566589355469</v>
      </c>
      <c r="T69" s="175">
        <v>1.7163200000000001</v>
      </c>
      <c r="U69" s="178">
        <v>0.39956000000000003</v>
      </c>
      <c r="V69" s="178">
        <v>7.0646799999999992</v>
      </c>
      <c r="W69" s="175">
        <v>1.721085</v>
      </c>
      <c r="X69" s="175">
        <v>11.199109999999999</v>
      </c>
      <c r="Y69" s="175">
        <v>3.79414E-2</v>
      </c>
      <c r="Z69" s="175">
        <v>0</v>
      </c>
      <c r="AA69" s="175">
        <v>14.602639999999999</v>
      </c>
      <c r="AB69" s="175">
        <v>0</v>
      </c>
      <c r="AC69" s="176">
        <v>18.056153245913791</v>
      </c>
      <c r="AD69" s="175">
        <v>19.862871170043945</v>
      </c>
      <c r="AE69" s="178">
        <v>14.183267593383789</v>
      </c>
      <c r="AF69" s="178">
        <v>27.098651885986328</v>
      </c>
      <c r="AG69" s="176">
        <v>0.27482867754210139</v>
      </c>
      <c r="AH69" s="175">
        <v>0.43135908246040344</v>
      </c>
      <c r="AI69" s="178">
        <v>0.17554506659507751</v>
      </c>
      <c r="AJ69" s="178">
        <v>1.0560154914855957</v>
      </c>
      <c r="AK69" s="176">
        <v>20.269289000000001</v>
      </c>
      <c r="AL69" s="176"/>
      <c r="AM69" s="175">
        <v>3.4510145187377899</v>
      </c>
      <c r="AN69" s="178">
        <v>1.70616626739502</v>
      </c>
      <c r="AO69" s="178">
        <v>6.8558106422424299</v>
      </c>
      <c r="AP69" s="175">
        <v>7.3737393320352504</v>
      </c>
      <c r="AQ69" s="178">
        <v>0.68626883057463806</v>
      </c>
      <c r="AR69" s="178">
        <v>47.838203538176103</v>
      </c>
    </row>
    <row r="70" spans="1:44">
      <c r="A70" t="s">
        <v>295</v>
      </c>
      <c r="B70" t="s">
        <v>141</v>
      </c>
      <c r="C70">
        <v>2019</v>
      </c>
      <c r="D70" s="176">
        <v>99.891523798781918</v>
      </c>
      <c r="E70" s="175">
        <v>98.762176513671875</v>
      </c>
      <c r="F70" s="178">
        <v>79.05059814453125</v>
      </c>
      <c r="G70" s="178">
        <v>99.940757751464844</v>
      </c>
      <c r="H70" s="176">
        <v>99.891523798781918</v>
      </c>
      <c r="I70" s="175">
        <v>96.373794555664063</v>
      </c>
      <c r="J70" s="178">
        <v>69.436424255371094</v>
      </c>
      <c r="K70" s="178">
        <v>99.679389953613281</v>
      </c>
      <c r="L70" s="176">
        <v>89.523778098086709</v>
      </c>
      <c r="M70" s="175">
        <v>91.226852416992188</v>
      </c>
      <c r="N70" s="178">
        <v>24.78297233581543</v>
      </c>
      <c r="O70" s="178">
        <v>99.696205139160156</v>
      </c>
      <c r="P70" s="176"/>
      <c r="Q70" s="175">
        <v>83.015953063964844</v>
      </c>
      <c r="R70" s="178">
        <v>18.776069641113281</v>
      </c>
      <c r="S70" s="178">
        <v>99.041709899902344</v>
      </c>
      <c r="T70" s="175">
        <v>72.326700000000002</v>
      </c>
      <c r="U70" s="178">
        <v>35.188390000000005</v>
      </c>
      <c r="V70" s="178">
        <v>92.636989999999997</v>
      </c>
      <c r="W70" s="175">
        <v>6.9103130000000004</v>
      </c>
      <c r="X70" s="175">
        <v>11.54832</v>
      </c>
      <c r="Y70" s="175">
        <v>5.9095700000000001E-2</v>
      </c>
      <c r="Z70" s="175">
        <v>8.2406600000000001</v>
      </c>
      <c r="AA70" s="175">
        <v>8.3731869999999997</v>
      </c>
      <c r="AB70" s="175">
        <v>1.66958E-2</v>
      </c>
      <c r="AC70" s="176">
        <v>92.106002208955545</v>
      </c>
      <c r="AD70" s="175">
        <v>90.803993225097656</v>
      </c>
      <c r="AE70" s="178">
        <v>65.503471374511719</v>
      </c>
      <c r="AF70" s="178">
        <v>98.089698791503906</v>
      </c>
      <c r="AG70" s="176">
        <v>69.312274368231101</v>
      </c>
      <c r="AH70" s="175">
        <v>57.602821350097656</v>
      </c>
      <c r="AI70" s="178">
        <v>7.4458465576171875</v>
      </c>
      <c r="AJ70" s="178">
        <v>95.823829650878906</v>
      </c>
      <c r="AK70" s="176"/>
      <c r="AL70" s="176"/>
      <c r="AM70" s="175">
        <v>67.489006042480497</v>
      </c>
      <c r="AN70" s="178">
        <v>24.653093338012699</v>
      </c>
      <c r="AO70" s="178">
        <v>92.943046569824205</v>
      </c>
      <c r="AP70" s="175">
        <v>21.299230908632698</v>
      </c>
      <c r="AQ70" s="178">
        <v>1.7604333443712101</v>
      </c>
      <c r="AR70" s="178">
        <v>80.343215873182999</v>
      </c>
    </row>
    <row r="71" spans="1:44">
      <c r="A71" t="s">
        <v>301</v>
      </c>
      <c r="B71" t="s">
        <v>147</v>
      </c>
      <c r="C71">
        <v>2019</v>
      </c>
      <c r="D71" s="176">
        <v>55.196952499315749</v>
      </c>
      <c r="E71" s="175">
        <v>57.185173034667969</v>
      </c>
      <c r="F71" s="178">
        <v>41.767784118652344</v>
      </c>
      <c r="G71" s="178">
        <v>71.323211669921875</v>
      </c>
      <c r="H71" s="176">
        <v>52.48607296993292</v>
      </c>
      <c r="I71" s="175">
        <v>53.89306640625</v>
      </c>
      <c r="J71" s="178">
        <v>44.020187377929688</v>
      </c>
      <c r="K71" s="178">
        <v>63.469676971435547</v>
      </c>
      <c r="L71" s="176">
        <v>22.127392767036369</v>
      </c>
      <c r="M71" s="175">
        <v>22.821376800537109</v>
      </c>
      <c r="N71" s="178">
        <v>13.415689468383789</v>
      </c>
      <c r="O71" s="178">
        <v>36.073951721191406</v>
      </c>
      <c r="P71" s="176">
        <v>19.852050133510851</v>
      </c>
      <c r="Q71" s="175">
        <v>21.037757873535156</v>
      </c>
      <c r="R71" s="178">
        <v>12.516803741455078</v>
      </c>
      <c r="S71" s="178">
        <v>33.160667419433594</v>
      </c>
      <c r="T71" s="175">
        <v>6.2341800000000003</v>
      </c>
      <c r="U71" s="178">
        <v>3.83595</v>
      </c>
      <c r="V71" s="178">
        <v>9.9762500000000003</v>
      </c>
      <c r="W71" s="175">
        <v>32.895040000000002</v>
      </c>
      <c r="X71" s="175">
        <v>4.2181569999999997</v>
      </c>
      <c r="Y71" s="175">
        <v>2.7831100000000001E-2</v>
      </c>
      <c r="Z71" s="175">
        <v>32.004269999999998</v>
      </c>
      <c r="AA71" s="175">
        <v>5.1300090000000003</v>
      </c>
      <c r="AB71" s="175">
        <v>4.8333099999999997E-2</v>
      </c>
      <c r="AC71" s="176">
        <v>11.921035981153331</v>
      </c>
      <c r="AD71" s="175">
        <v>12.751781463623047</v>
      </c>
      <c r="AE71" s="178">
        <v>9.6773147583007813</v>
      </c>
      <c r="AF71" s="178">
        <v>16.623241424560547</v>
      </c>
      <c r="AG71" s="176">
        <v>1.1365935031055749</v>
      </c>
      <c r="AH71" s="175">
        <v>0.15318194031715393</v>
      </c>
      <c r="AI71" s="178">
        <v>6.7393772304058075E-2</v>
      </c>
      <c r="AJ71" s="178">
        <v>0.34779331088066101</v>
      </c>
      <c r="AK71" s="176"/>
      <c r="AL71" s="176">
        <v>26.384289190873069</v>
      </c>
      <c r="AM71" s="175">
        <v>33.665229797363303</v>
      </c>
      <c r="AN71" s="178">
        <v>23.025154113769499</v>
      </c>
      <c r="AO71" s="178">
        <v>46.266815185546903</v>
      </c>
      <c r="AP71" s="175">
        <v>9.5043914078964207</v>
      </c>
      <c r="AQ71" s="178">
        <v>1.3607505112832601</v>
      </c>
      <c r="AR71" s="178">
        <v>44.431645964912605</v>
      </c>
    </row>
    <row r="72" spans="1:44">
      <c r="A72" t="s">
        <v>312</v>
      </c>
      <c r="B72" t="s">
        <v>158</v>
      </c>
      <c r="C72">
        <v>2019</v>
      </c>
      <c r="D72" s="176">
        <v>90.781825465658642</v>
      </c>
      <c r="E72" s="175">
        <v>89.283638000488281</v>
      </c>
      <c r="F72" s="178">
        <v>84.214202880859375</v>
      </c>
      <c r="G72" s="178">
        <v>92.863052368164063</v>
      </c>
      <c r="H72" s="176">
        <v>69.279610818504494</v>
      </c>
      <c r="I72" s="175">
        <v>69.469337463378906</v>
      </c>
      <c r="J72" s="178">
        <v>63.245372772216797</v>
      </c>
      <c r="K72" s="178">
        <v>75.055038452148438</v>
      </c>
      <c r="L72" s="176">
        <v>17.1843229350157</v>
      </c>
      <c r="M72" s="175">
        <v>17.198089599609375</v>
      </c>
      <c r="N72" s="178">
        <v>10.771681785583496</v>
      </c>
      <c r="O72" s="178">
        <v>26.327266693115234</v>
      </c>
      <c r="P72" s="176"/>
      <c r="Q72" s="175">
        <v>15.746365547180176</v>
      </c>
      <c r="R72" s="178">
        <v>10.687986373901367</v>
      </c>
      <c r="S72" s="178">
        <v>22.593147277832031</v>
      </c>
      <c r="T72" s="175">
        <v>2.7064300000000001</v>
      </c>
      <c r="U72" s="178">
        <v>1.8396399999999999</v>
      </c>
      <c r="V72" s="178">
        <v>3.9651400000000003</v>
      </c>
      <c r="W72" s="175">
        <v>15.73696</v>
      </c>
      <c r="X72" s="175">
        <v>17.416409999999999</v>
      </c>
      <c r="Y72" s="175">
        <v>1.2624399999999999E-2</v>
      </c>
      <c r="Z72" s="175">
        <v>6.6003699999999998</v>
      </c>
      <c r="AA72" s="175">
        <v>14.31448</v>
      </c>
      <c r="AB72" s="175">
        <v>0</v>
      </c>
      <c r="AC72" s="176">
        <v>26.231274403503662</v>
      </c>
      <c r="AD72" s="175">
        <v>26.423007965087891</v>
      </c>
      <c r="AE72" s="178">
        <v>22.241138458251953</v>
      </c>
      <c r="AF72" s="178">
        <v>31.076919555664063</v>
      </c>
      <c r="AG72" s="176">
        <v>1.741749570530162</v>
      </c>
      <c r="AH72" s="175">
        <v>0.45014539361000061</v>
      </c>
      <c r="AI72" s="178">
        <v>0.18835228681564331</v>
      </c>
      <c r="AJ72" s="178">
        <v>1.0719000101089478</v>
      </c>
      <c r="AK72" s="176"/>
      <c r="AL72" s="176">
        <v>8.2406562073480067</v>
      </c>
      <c r="AM72" s="175">
        <v>24.327232360839801</v>
      </c>
      <c r="AN72" s="178">
        <v>12.890167236328102</v>
      </c>
      <c r="AO72" s="178">
        <v>41.1216430664062</v>
      </c>
      <c r="AP72" s="175">
        <v>8.8458926370681805</v>
      </c>
      <c r="AQ72" s="178">
        <v>1.28863133874883</v>
      </c>
      <c r="AR72" s="178">
        <v>41.907367737829901</v>
      </c>
    </row>
    <row r="73" spans="1:44">
      <c r="A73" t="s">
        <v>313</v>
      </c>
      <c r="B73" t="s">
        <v>159</v>
      </c>
      <c r="C73">
        <v>2019</v>
      </c>
      <c r="D73" s="176">
        <v>97.44649046947184</v>
      </c>
      <c r="E73" s="175">
        <v>97.697349548339844</v>
      </c>
      <c r="F73" s="178">
        <v>94.552253723144531</v>
      </c>
      <c r="G73" s="178">
        <v>99.045051574707031</v>
      </c>
      <c r="H73" s="176">
        <v>97.090367455166302</v>
      </c>
      <c r="I73" s="175">
        <v>97.697349548339844</v>
      </c>
      <c r="J73" s="178">
        <v>97.187911987304688</v>
      </c>
      <c r="K73" s="178">
        <v>99.82177734375</v>
      </c>
      <c r="L73" s="176">
        <v>93.771862649612402</v>
      </c>
      <c r="M73" s="175">
        <v>97.697349548339844</v>
      </c>
      <c r="N73" s="178">
        <v>86.823699951171875</v>
      </c>
      <c r="O73" s="178">
        <v>99.694229125976563</v>
      </c>
      <c r="P73" s="176">
        <v>93.771862649612402</v>
      </c>
      <c r="Q73" s="175">
        <v>56.550346374511719</v>
      </c>
      <c r="R73" s="178">
        <v>34.743476867675781</v>
      </c>
      <c r="S73" s="178">
        <v>76.085838317871094</v>
      </c>
      <c r="T73" s="175">
        <v>38.518679999999996</v>
      </c>
      <c r="U73" s="178">
        <v>11.89303</v>
      </c>
      <c r="V73" s="178">
        <v>74.41058000000001</v>
      </c>
      <c r="W73" s="175">
        <v>39.340170000000001</v>
      </c>
      <c r="X73" s="175">
        <v>2.6979320000000002</v>
      </c>
      <c r="Y73" s="175">
        <v>8.7932899999999994E-2</v>
      </c>
      <c r="Z73" s="175">
        <v>40.12968</v>
      </c>
      <c r="AA73" s="175">
        <v>1.3040039999999999</v>
      </c>
      <c r="AB73" s="175">
        <v>0.11305</v>
      </c>
      <c r="AC73" s="176"/>
      <c r="AD73" s="175">
        <v>83.283500671386719</v>
      </c>
      <c r="AE73" s="178">
        <v>50.324161529541016</v>
      </c>
      <c r="AF73" s="178">
        <v>96.078689575195313</v>
      </c>
      <c r="AG73" s="176"/>
      <c r="AH73" s="175">
        <v>5.7721757888793945</v>
      </c>
      <c r="AI73" s="178">
        <v>0.38915163278579712</v>
      </c>
      <c r="AJ73" s="178">
        <v>48.993251800537109</v>
      </c>
      <c r="AK73" s="176">
        <v>23.91647</v>
      </c>
      <c r="AL73" s="176"/>
      <c r="AM73" s="175">
        <v>94.368301391601605</v>
      </c>
      <c r="AN73" s="178">
        <v>73.825233459472699</v>
      </c>
      <c r="AO73" s="178">
        <v>99.0054931640625</v>
      </c>
      <c r="AP73" s="175">
        <v>17.488713463018801</v>
      </c>
      <c r="AQ73" s="178">
        <v>15.835229811227199</v>
      </c>
      <c r="AR73" s="178">
        <v>19.275309743916498</v>
      </c>
    </row>
    <row r="74" spans="1:44">
      <c r="A74" t="s">
        <v>302</v>
      </c>
      <c r="B74" t="s">
        <v>148</v>
      </c>
      <c r="C74">
        <v>2019</v>
      </c>
      <c r="D74" s="176">
        <v>99.575605414246041</v>
      </c>
      <c r="E74" s="175">
        <v>99.7479248046875</v>
      </c>
      <c r="F74" s="178">
        <v>99.537307739257813</v>
      </c>
      <c r="G74" s="178">
        <v>99.862800598144531</v>
      </c>
      <c r="H74" s="176">
        <v>99.527205662693476</v>
      </c>
      <c r="I74" s="175">
        <v>99.50311279296875</v>
      </c>
      <c r="J74" s="178">
        <v>99.134864807128906</v>
      </c>
      <c r="K74" s="178">
        <v>99.715065002441406</v>
      </c>
      <c r="L74" s="176">
        <v>97.538931318893987</v>
      </c>
      <c r="M74" s="175">
        <v>97.700668334960938</v>
      </c>
      <c r="N74" s="178">
        <v>94.591751098632813</v>
      </c>
      <c r="O74" s="178">
        <v>99.040557861328125</v>
      </c>
      <c r="P74" s="176"/>
      <c r="Q74" s="175">
        <v>53.766483306884766</v>
      </c>
      <c r="R74" s="178">
        <v>38.734146118164063</v>
      </c>
      <c r="S74" s="178">
        <v>68.143875122070313</v>
      </c>
      <c r="T74" s="175">
        <v>31.667159999999999</v>
      </c>
      <c r="U74" s="178">
        <v>8.8217100000000013</v>
      </c>
      <c r="V74" s="178">
        <v>68.941389999999998</v>
      </c>
      <c r="W74" s="175">
        <v>20.88673</v>
      </c>
      <c r="X74" s="175">
        <v>1.5929690000000001</v>
      </c>
      <c r="Y74" s="175">
        <v>0.1137474</v>
      </c>
      <c r="Z74" s="175">
        <v>23.202120000000001</v>
      </c>
      <c r="AA74" s="175">
        <v>0.82446660000000005</v>
      </c>
      <c r="AB74" s="175">
        <v>9.5929E-2</v>
      </c>
      <c r="AC74" s="176">
        <v>98.268425807883219</v>
      </c>
      <c r="AD74" s="175">
        <v>98.278228759765625</v>
      </c>
      <c r="AE74" s="178">
        <v>97.334426879882813</v>
      </c>
      <c r="AF74" s="178">
        <v>98.89166259765625</v>
      </c>
      <c r="AG74" s="176">
        <v>64.421057216008876</v>
      </c>
      <c r="AH74" s="175">
        <v>49.567665100097656</v>
      </c>
      <c r="AI74" s="178">
        <v>23.930023193359375</v>
      </c>
      <c r="AJ74" s="178">
        <v>75.4346923828125</v>
      </c>
      <c r="AK74" s="176">
        <v>10.057917</v>
      </c>
      <c r="AL74" s="176">
        <v>95.820917475340693</v>
      </c>
      <c r="AM74" s="175">
        <v>95.610893249511705</v>
      </c>
      <c r="AN74" s="178">
        <v>91.004379272460895</v>
      </c>
      <c r="AO74" s="178">
        <v>97.912590026855497</v>
      </c>
      <c r="AP74" s="175">
        <v>31.785243244110102</v>
      </c>
      <c r="AQ74" s="178">
        <v>25.534605672765199</v>
      </c>
      <c r="AR74" s="178">
        <v>38.769355306954303</v>
      </c>
    </row>
    <row r="75" spans="1:44">
      <c r="A75" t="s">
        <v>305</v>
      </c>
      <c r="B75" t="s">
        <v>151</v>
      </c>
      <c r="C75">
        <v>2019</v>
      </c>
      <c r="D75" s="176">
        <v>84.856177198962854</v>
      </c>
      <c r="E75" s="175">
        <v>83.739463806152344</v>
      </c>
      <c r="F75" s="178">
        <v>76.411582946777344</v>
      </c>
      <c r="G75" s="178">
        <v>89.11517333984375</v>
      </c>
      <c r="H75" s="176">
        <v>80.931881775749204</v>
      </c>
      <c r="I75" s="175">
        <v>73.531181335449219</v>
      </c>
      <c r="J75" s="178">
        <v>65.289794921875</v>
      </c>
      <c r="K75" s="178">
        <v>80.403114318847656</v>
      </c>
      <c r="L75" s="176">
        <v>35.26935411759343</v>
      </c>
      <c r="M75" s="175">
        <v>35.488452911376953</v>
      </c>
      <c r="N75" s="178">
        <v>22.545536041259766</v>
      </c>
      <c r="O75" s="178">
        <v>50.971866607666016</v>
      </c>
      <c r="P75" s="176"/>
      <c r="Q75" s="175">
        <v>26.613204956054688</v>
      </c>
      <c r="R75" s="178">
        <v>18.574069976806641</v>
      </c>
      <c r="S75" s="178">
        <v>36.569141387939453</v>
      </c>
      <c r="T75" s="175">
        <v>5.9907500000000002</v>
      </c>
      <c r="U75" s="178">
        <v>1.3754600000000001</v>
      </c>
      <c r="V75" s="178">
        <v>22.551289999999998</v>
      </c>
      <c r="W75" s="175">
        <v>3.4320870000000001</v>
      </c>
      <c r="X75" s="175">
        <v>22.00498</v>
      </c>
      <c r="Y75" s="175">
        <v>3.1708699999999999E-2</v>
      </c>
      <c r="Z75" s="175">
        <v>0.2043459</v>
      </c>
      <c r="AA75" s="175">
        <v>9.9623670000000004</v>
      </c>
      <c r="AB75" s="175">
        <v>0</v>
      </c>
      <c r="AC75" s="176">
        <v>43.710287635303949</v>
      </c>
      <c r="AD75" s="175">
        <v>45.154926300048828</v>
      </c>
      <c r="AE75" s="178">
        <v>39.507389068603516</v>
      </c>
      <c r="AF75" s="178">
        <v>50.930084228515625</v>
      </c>
      <c r="AG75" s="176">
        <v>1.359864465886897</v>
      </c>
      <c r="AH75" s="175">
        <v>1.053203821182251</v>
      </c>
      <c r="AI75" s="178">
        <v>0.50243550539016724</v>
      </c>
      <c r="AJ75" s="178">
        <v>2.1944067478179932</v>
      </c>
      <c r="AK75" s="176">
        <v>12.184404000000001</v>
      </c>
      <c r="AL75" s="176">
        <v>16.886596584372999</v>
      </c>
      <c r="AM75" s="175">
        <v>17.756736755371101</v>
      </c>
      <c r="AN75" s="178">
        <v>9.2579860687255895</v>
      </c>
      <c r="AO75" s="178">
        <v>31.360929489135696</v>
      </c>
      <c r="AP75" s="175">
        <v>8.3825531138626097</v>
      </c>
      <c r="AQ75" s="178">
        <v>1.1553989784788501</v>
      </c>
      <c r="AR75" s="178">
        <v>41.730776276060801</v>
      </c>
    </row>
    <row r="76" spans="1:44">
      <c r="A76" t="s">
        <v>310</v>
      </c>
      <c r="B76" t="s">
        <v>156</v>
      </c>
      <c r="C76">
        <v>2019</v>
      </c>
      <c r="D76" s="176">
        <v>84.90959827549149</v>
      </c>
      <c r="E76" s="175">
        <v>85.840049743652344</v>
      </c>
      <c r="F76" s="178">
        <v>70.771507263183594</v>
      </c>
      <c r="G76" s="178">
        <v>93.818634033203125</v>
      </c>
      <c r="H76" s="176">
        <v>71.358401444546857</v>
      </c>
      <c r="I76" s="175">
        <v>71.9052734375</v>
      </c>
      <c r="J76" s="178">
        <v>57.970367431640625</v>
      </c>
      <c r="K76" s="178">
        <v>82.606300354003906</v>
      </c>
      <c r="L76" s="176">
        <v>42.744065070883018</v>
      </c>
      <c r="M76" s="175">
        <v>50.011898040771484</v>
      </c>
      <c r="N76" s="178">
        <v>29.205516815185547</v>
      </c>
      <c r="O76" s="178">
        <v>70.814163208007813</v>
      </c>
      <c r="P76" s="176"/>
      <c r="Q76" s="175">
        <v>30.787387847900391</v>
      </c>
      <c r="R76" s="178">
        <v>15.086489677429199</v>
      </c>
      <c r="S76" s="178">
        <v>52.689342498779297</v>
      </c>
      <c r="T76" s="175">
        <v>8.9651399999999999</v>
      </c>
      <c r="U76" s="178">
        <v>2.31623</v>
      </c>
      <c r="V76" s="178">
        <v>29.02844</v>
      </c>
      <c r="W76" s="175">
        <v>2.103942</v>
      </c>
      <c r="X76" s="175">
        <v>19.991890000000001</v>
      </c>
      <c r="Y76" s="175">
        <v>4.00673E-2</v>
      </c>
      <c r="Z76" s="175">
        <v>0</v>
      </c>
      <c r="AA76" s="175">
        <v>16.283470000000001</v>
      </c>
      <c r="AB76" s="175">
        <v>3.9391599999999999E-2</v>
      </c>
      <c r="AC76" s="176">
        <v>49.375987724419211</v>
      </c>
      <c r="AD76" s="175">
        <v>47.04827880859375</v>
      </c>
      <c r="AE76" s="178">
        <v>35.984901428222656</v>
      </c>
      <c r="AF76" s="178">
        <v>58.409507751464844</v>
      </c>
      <c r="AG76" s="176">
        <v>2.719466408686098</v>
      </c>
      <c r="AH76" s="175">
        <v>2.7601299285888672</v>
      </c>
      <c r="AI76" s="178">
        <v>1.1004989147186279</v>
      </c>
      <c r="AJ76" s="178">
        <v>6.7517385482788086</v>
      </c>
      <c r="AK76" s="176"/>
      <c r="AL76" s="176">
        <v>52.726440315588761</v>
      </c>
      <c r="AM76" s="175">
        <v>53.471275329589794</v>
      </c>
      <c r="AN76" s="178">
        <v>36.073566436767599</v>
      </c>
      <c r="AO76" s="178">
        <v>70.063468933105497</v>
      </c>
      <c r="AP76" s="175">
        <v>10.9010780879471</v>
      </c>
      <c r="AQ76" s="178">
        <v>1.1997425967211701</v>
      </c>
      <c r="AR76" s="178">
        <v>55.211555337328498</v>
      </c>
    </row>
    <row r="77" spans="1:44">
      <c r="A77" t="s">
        <v>311</v>
      </c>
      <c r="B77" t="s">
        <v>157</v>
      </c>
      <c r="C77">
        <v>2019</v>
      </c>
      <c r="D77" s="176">
        <v>99.866260378244831</v>
      </c>
      <c r="E77" s="175">
        <v>99.799201965332031</v>
      </c>
      <c r="F77" s="178">
        <v>99.169548034667969</v>
      </c>
      <c r="G77" s="178">
        <v>99.951683044433594</v>
      </c>
      <c r="H77" s="176">
        <v>99.866260378244831</v>
      </c>
      <c r="I77" s="175">
        <v>99.799201965332031</v>
      </c>
      <c r="J77" s="178">
        <v>99.169548034667969</v>
      </c>
      <c r="K77" s="178">
        <v>99.999526977539063</v>
      </c>
      <c r="L77" s="176">
        <v>99.835210202092398</v>
      </c>
      <c r="M77" s="175">
        <v>99.799201965332031</v>
      </c>
      <c r="N77" s="178">
        <v>99.580032348632813</v>
      </c>
      <c r="O77" s="178">
        <v>99.991241455078125</v>
      </c>
      <c r="P77" s="176"/>
      <c r="Q77" s="175">
        <v>28.853172302246094</v>
      </c>
      <c r="R77" s="178">
        <v>8.8787631988525391</v>
      </c>
      <c r="S77" s="178">
        <v>62.796043395996094</v>
      </c>
      <c r="T77" s="175">
        <v>12.748100000000001</v>
      </c>
      <c r="U77" s="178">
        <v>2.9536699999999998</v>
      </c>
      <c r="V77" s="178">
        <v>41.224460000000001</v>
      </c>
      <c r="W77" s="175">
        <v>7.4474559999999999</v>
      </c>
      <c r="X77" s="175">
        <v>9.0816610000000004</v>
      </c>
      <c r="Y77" s="175">
        <v>2.99665E-2</v>
      </c>
      <c r="Z77" s="175">
        <v>6.5791599999999999</v>
      </c>
      <c r="AA77" s="175">
        <v>7.0562399999999998</v>
      </c>
      <c r="AB77" s="175">
        <v>8.4662000000000001E-3</v>
      </c>
      <c r="AC77" s="176"/>
      <c r="AD77" s="175">
        <v>95.217376708984375</v>
      </c>
      <c r="AE77" s="178">
        <v>91.189361572265625</v>
      </c>
      <c r="AF77" s="178">
        <v>97.455268859863281</v>
      </c>
      <c r="AG77" s="176"/>
      <c r="AH77" s="175">
        <v>15.761446952819824</v>
      </c>
      <c r="AI77" s="178">
        <v>4.496981143951416</v>
      </c>
      <c r="AJ77" s="178">
        <v>42.643287658691406</v>
      </c>
      <c r="AK77" s="176"/>
      <c r="AL77" s="176"/>
      <c r="AM77" s="175">
        <v>60.6198921203613</v>
      </c>
      <c r="AN77" s="178">
        <v>21.3145351409912</v>
      </c>
      <c r="AO77" s="178">
        <v>89.741195678710895</v>
      </c>
      <c r="AP77" s="175">
        <v>11.4051856765221</v>
      </c>
      <c r="AQ77" s="178">
        <v>1.0896671698486</v>
      </c>
      <c r="AR77" s="178">
        <v>60.068762323503599</v>
      </c>
    </row>
    <row r="78" spans="1:44">
      <c r="A78" t="s">
        <v>303</v>
      </c>
      <c r="B78" t="s">
        <v>149</v>
      </c>
      <c r="C78">
        <v>2019</v>
      </c>
      <c r="D78" s="176">
        <v>99.477263936463586</v>
      </c>
      <c r="E78" s="175">
        <v>98.8316650390625</v>
      </c>
      <c r="F78" s="178">
        <v>98.035346984863281</v>
      </c>
      <c r="G78" s="178">
        <v>99.3074951171875</v>
      </c>
      <c r="H78" s="176">
        <v>99.477263936463586</v>
      </c>
      <c r="I78" s="175">
        <v>98.269790649414063</v>
      </c>
      <c r="J78" s="178">
        <v>95.350151062011719</v>
      </c>
      <c r="K78" s="178">
        <v>99.368331909179688</v>
      </c>
      <c r="L78" s="176">
        <v>95.239996362504087</v>
      </c>
      <c r="M78" s="175">
        <v>94.986564636230469</v>
      </c>
      <c r="N78" s="178">
        <v>93.003044128417969</v>
      </c>
      <c r="O78" s="178">
        <v>96.429374694824219</v>
      </c>
      <c r="P78" s="176">
        <v>42.938961050501852</v>
      </c>
      <c r="Q78" s="175">
        <v>73.613792419433594</v>
      </c>
      <c r="R78" s="178">
        <v>62.202812194824219</v>
      </c>
      <c r="S78" s="178">
        <v>82.546424865722656</v>
      </c>
      <c r="T78" s="175">
        <v>59.808689999999999</v>
      </c>
      <c r="U78" s="178">
        <v>23.801690000000001</v>
      </c>
      <c r="V78" s="178">
        <v>87.637950000000004</v>
      </c>
      <c r="W78" s="175">
        <v>33.946080000000002</v>
      </c>
      <c r="X78" s="175">
        <v>29.118030000000001</v>
      </c>
      <c r="Y78" s="175">
        <v>5.18857E-2</v>
      </c>
      <c r="Z78" s="175">
        <v>18.315300000000001</v>
      </c>
      <c r="AA78" s="175">
        <v>7.7038500000000001</v>
      </c>
      <c r="AB78" s="175">
        <v>2.1345699999999999E-2</v>
      </c>
      <c r="AC78" s="176">
        <v>91.736660933253788</v>
      </c>
      <c r="AD78" s="175">
        <v>91.099708557128906</v>
      </c>
      <c r="AE78" s="178">
        <v>89.433540344238281</v>
      </c>
      <c r="AF78" s="178">
        <v>92.525100708007813</v>
      </c>
      <c r="AG78" s="176">
        <v>80.260690707982349</v>
      </c>
      <c r="AH78" s="175">
        <v>73.700408935546875</v>
      </c>
      <c r="AI78" s="178">
        <v>66.946556091308594</v>
      </c>
      <c r="AJ78" s="178">
        <v>79.49688720703125</v>
      </c>
      <c r="AK78" s="176"/>
      <c r="AL78" s="176">
        <v>89.843792345653583</v>
      </c>
      <c r="AM78" s="175">
        <v>90.139953613281193</v>
      </c>
      <c r="AN78" s="178">
        <v>81.157501220703097</v>
      </c>
      <c r="AO78" s="178">
        <v>95.098953247070298</v>
      </c>
      <c r="AP78" s="175">
        <v>37.452488528283702</v>
      </c>
      <c r="AQ78" s="178">
        <v>30.542940637318999</v>
      </c>
      <c r="AR78" s="178">
        <v>44.914360950716095</v>
      </c>
    </row>
    <row r="79" spans="1:44">
      <c r="A79" t="s">
        <v>268</v>
      </c>
      <c r="B79" t="s">
        <v>114</v>
      </c>
      <c r="C79">
        <v>2019</v>
      </c>
      <c r="D79" s="176">
        <v>88.308156676625003</v>
      </c>
      <c r="E79" s="175">
        <v>98.898414611816406</v>
      </c>
      <c r="F79" s="178">
        <v>81.400367736816406</v>
      </c>
      <c r="G79" s="178">
        <v>99.945732116699219</v>
      </c>
      <c r="H79" s="176">
        <v>88.308156676625003</v>
      </c>
      <c r="I79" s="175">
        <v>87.833885192871094</v>
      </c>
      <c r="J79" s="178">
        <v>27.128808975219727</v>
      </c>
      <c r="K79" s="178">
        <v>99.290809631347656</v>
      </c>
      <c r="L79" s="176">
        <v>62.406205806201562</v>
      </c>
      <c r="M79" s="175">
        <v>78.3516845703125</v>
      </c>
      <c r="N79" s="178">
        <v>6.602778434753418</v>
      </c>
      <c r="O79" s="178">
        <v>99.463203430175781</v>
      </c>
      <c r="P79" s="176"/>
      <c r="Q79" s="175">
        <v>41.699424743652344</v>
      </c>
      <c r="R79" s="178">
        <v>3.3691775798797607</v>
      </c>
      <c r="S79" s="178">
        <v>93.619422912597656</v>
      </c>
      <c r="T79" s="175">
        <v>18.792649999999998</v>
      </c>
      <c r="U79" s="178">
        <v>3.6101000000000001</v>
      </c>
      <c r="V79" s="178">
        <v>58.845599999999997</v>
      </c>
      <c r="W79" s="175">
        <v>34.858089999999997</v>
      </c>
      <c r="X79" s="175">
        <v>0.73375279999999998</v>
      </c>
      <c r="Y79" s="175">
        <v>0.34590280000000001</v>
      </c>
      <c r="Z79" s="175">
        <v>27.033159999999999</v>
      </c>
      <c r="AA79" s="175">
        <v>0.89790429999999999</v>
      </c>
      <c r="AB79" s="175">
        <v>0.43105969999999999</v>
      </c>
      <c r="AC79" s="176">
        <v>88.30933154788363</v>
      </c>
      <c r="AD79" s="175">
        <v>54.843879699707031</v>
      </c>
      <c r="AE79" s="178">
        <v>10.799546241760254</v>
      </c>
      <c r="AF79" s="178">
        <v>92.414962768554688</v>
      </c>
      <c r="AG79" s="176">
        <v>13.13380355210381</v>
      </c>
      <c r="AH79" s="175">
        <v>6.9208555221557617</v>
      </c>
      <c r="AI79" s="178">
        <v>0.14691281318664551</v>
      </c>
      <c r="AJ79" s="178">
        <v>78.981231689453125</v>
      </c>
      <c r="AK79" s="176"/>
      <c r="AL79" s="176"/>
      <c r="AM79" s="175">
        <v>45.433006286621101</v>
      </c>
      <c r="AN79" s="178">
        <v>9.4661808013915998</v>
      </c>
      <c r="AO79" s="178">
        <v>86.893981933593807</v>
      </c>
      <c r="AP79" s="175">
        <v>13.110746647628799</v>
      </c>
      <c r="AQ79" s="178">
        <v>9.0210686620767095</v>
      </c>
      <c r="AR79" s="178">
        <v>18.673916780738601</v>
      </c>
    </row>
    <row r="80" spans="1:44">
      <c r="A80" t="s">
        <v>308</v>
      </c>
      <c r="B80" t="s">
        <v>154</v>
      </c>
      <c r="C80">
        <v>2019</v>
      </c>
      <c r="D80" s="176">
        <v>87.051122244654849</v>
      </c>
      <c r="E80" s="175">
        <v>87.425727844238281</v>
      </c>
      <c r="F80" s="178">
        <v>78.088897705078125</v>
      </c>
      <c r="G80" s="178">
        <v>93.133750915527344</v>
      </c>
      <c r="H80" s="176">
        <v>84.536212668318342</v>
      </c>
      <c r="I80" s="175">
        <v>85.83660888671875</v>
      </c>
      <c r="J80" s="178">
        <v>77.744560241699219</v>
      </c>
      <c r="K80" s="178">
        <v>91.315078735351563</v>
      </c>
      <c r="L80" s="176">
        <v>29.69125692170098</v>
      </c>
      <c r="M80" s="175">
        <v>32.778835296630859</v>
      </c>
      <c r="N80" s="178">
        <v>19.602058410644531</v>
      </c>
      <c r="O80" s="178">
        <v>49.373626708984375</v>
      </c>
      <c r="P80" s="176">
        <v>29.69125692170098</v>
      </c>
      <c r="Q80" s="175">
        <v>29.574769973754883</v>
      </c>
      <c r="R80" s="178">
        <v>17.71302604675293</v>
      </c>
      <c r="S80" s="178">
        <v>45.032752990722656</v>
      </c>
      <c r="T80" s="175">
        <v>18.88504</v>
      </c>
      <c r="U80" s="178">
        <v>11.85341</v>
      </c>
      <c r="V80" s="178">
        <v>28.728439999999999</v>
      </c>
      <c r="W80" s="175">
        <v>58.968989999999998</v>
      </c>
      <c r="X80" s="175">
        <v>1.4794959999999999</v>
      </c>
      <c r="Y80" s="175">
        <v>9.3656699999999996E-2</v>
      </c>
      <c r="Z80" s="175">
        <v>69.122380000000007</v>
      </c>
      <c r="AA80" s="175">
        <v>0.48131400000000002</v>
      </c>
      <c r="AB80" s="175">
        <v>7.00987E-2</v>
      </c>
      <c r="AC80" s="176">
        <v>66.577531122105569</v>
      </c>
      <c r="AD80" s="175">
        <v>67.215507507324219</v>
      </c>
      <c r="AE80" s="178">
        <v>59.121234893798828</v>
      </c>
      <c r="AF80" s="178">
        <v>74.401023864746094</v>
      </c>
      <c r="AG80" s="176">
        <v>24.884872414416851</v>
      </c>
      <c r="AH80" s="175">
        <v>21.538219451904297</v>
      </c>
      <c r="AI80" s="178">
        <v>12.369946479797363</v>
      </c>
      <c r="AJ80" s="178">
        <v>34.802970886230469</v>
      </c>
      <c r="AK80" s="176">
        <v>45.626987999999997</v>
      </c>
      <c r="AL80" s="176">
        <v>84.353482034132682</v>
      </c>
      <c r="AM80" s="175">
        <v>81.064476013183594</v>
      </c>
      <c r="AN80" s="178">
        <v>73.074569702148395</v>
      </c>
      <c r="AO80" s="178">
        <v>87.1019287109375</v>
      </c>
      <c r="AP80" s="175">
        <v>16.2984947078339</v>
      </c>
      <c r="AQ80" s="178">
        <v>14.876184704964901</v>
      </c>
      <c r="AR80" s="178">
        <v>17.8283105220357</v>
      </c>
    </row>
    <row r="81" spans="1:44">
      <c r="A81" t="s">
        <v>307</v>
      </c>
      <c r="B81" t="s">
        <v>153</v>
      </c>
      <c r="C81">
        <v>2019</v>
      </c>
      <c r="D81" s="176">
        <v>99.352691810596866</v>
      </c>
      <c r="E81" s="175">
        <v>99.452590942382813</v>
      </c>
      <c r="F81" s="178">
        <v>98.448806762695313</v>
      </c>
      <c r="G81" s="178">
        <v>99.808090209960938</v>
      </c>
      <c r="H81" s="176">
        <v>98.681402049051442</v>
      </c>
      <c r="I81" s="175">
        <v>98.278297424316406</v>
      </c>
      <c r="J81" s="178">
        <v>96.952827453613281</v>
      </c>
      <c r="K81" s="178">
        <v>99.032958984375</v>
      </c>
      <c r="L81" s="176">
        <v>97.967757331264508</v>
      </c>
      <c r="M81" s="175">
        <v>97.057159423828125</v>
      </c>
      <c r="N81" s="178">
        <v>93.984199523925781</v>
      </c>
      <c r="O81" s="178">
        <v>98.584053039550781</v>
      </c>
      <c r="P81" s="176">
        <v>85.01321871146115</v>
      </c>
      <c r="Q81" s="175">
        <v>85.399673461914063</v>
      </c>
      <c r="R81" s="178">
        <v>67.141014099121094</v>
      </c>
      <c r="S81" s="178">
        <v>94.364227294921875</v>
      </c>
      <c r="T81" s="175">
        <v>68.975120000000004</v>
      </c>
      <c r="U81" s="178">
        <v>32.210889999999999</v>
      </c>
      <c r="V81" s="178">
        <v>91.229700000000008</v>
      </c>
      <c r="W81" s="175">
        <v>8.3627749999999992</v>
      </c>
      <c r="X81" s="175">
        <v>1.880403</v>
      </c>
      <c r="Y81" s="175">
        <v>0</v>
      </c>
      <c r="Z81" s="175">
        <v>7.3507179999999996</v>
      </c>
      <c r="AA81" s="175">
        <v>0.81789719999999999</v>
      </c>
      <c r="AB81" s="175">
        <v>1.2389000000000001E-2</v>
      </c>
      <c r="AC81" s="176">
        <v>97.502297522040053</v>
      </c>
      <c r="AD81" s="175">
        <v>96.620964050292969</v>
      </c>
      <c r="AE81" s="178">
        <v>95.184333801269531</v>
      </c>
      <c r="AF81" s="178">
        <v>97.639640808105469</v>
      </c>
      <c r="AG81" s="176">
        <v>45.274834776651801</v>
      </c>
      <c r="AH81" s="175">
        <v>51.035736083984375</v>
      </c>
      <c r="AI81" s="178">
        <v>33.182270050048828</v>
      </c>
      <c r="AJ81" s="178">
        <v>68.628829956054688</v>
      </c>
      <c r="AK81" s="176">
        <v>60.767665999999998</v>
      </c>
      <c r="AL81" s="176">
        <v>99.242272740496219</v>
      </c>
      <c r="AM81" s="175">
        <v>99.180473327636705</v>
      </c>
      <c r="AN81" s="178">
        <v>98.309761047363295</v>
      </c>
      <c r="AO81" s="178">
        <v>99.604446411132798</v>
      </c>
      <c r="AP81" s="175">
        <v>25.302741080391698</v>
      </c>
      <c r="AQ81" s="178">
        <v>1.23721120518303</v>
      </c>
      <c r="AR81" s="178">
        <v>90.157068358984404</v>
      </c>
    </row>
    <row r="82" spans="1:44">
      <c r="A82" t="s">
        <v>299</v>
      </c>
      <c r="B82" t="s">
        <v>145</v>
      </c>
      <c r="C82">
        <v>2019</v>
      </c>
      <c r="D82" s="176">
        <v>94.52311116537588</v>
      </c>
      <c r="E82" s="175">
        <v>93.259689331054688</v>
      </c>
      <c r="F82" s="178">
        <v>85.454429626464844</v>
      </c>
      <c r="G82" s="178">
        <v>97.02252197265625</v>
      </c>
      <c r="H82" s="176">
        <v>89.104113309370049</v>
      </c>
      <c r="I82" s="175">
        <v>86.310722351074219</v>
      </c>
      <c r="J82" s="178">
        <v>79.054313659667969</v>
      </c>
      <c r="K82" s="178">
        <v>91.328964233398438</v>
      </c>
      <c r="L82" s="176">
        <v>81.600484700489147</v>
      </c>
      <c r="M82" s="175">
        <v>78.564140319824219</v>
      </c>
      <c r="N82" s="178">
        <v>64.656784057617188</v>
      </c>
      <c r="O82" s="178">
        <v>88.0135498046875</v>
      </c>
      <c r="P82" s="176">
        <v>78.370370676761397</v>
      </c>
      <c r="Q82" s="175">
        <v>76.304801940917969</v>
      </c>
      <c r="R82" s="178">
        <v>57.758766174316406</v>
      </c>
      <c r="S82" s="178">
        <v>88.350502014160156</v>
      </c>
      <c r="T82" s="175">
        <v>61.546019999999999</v>
      </c>
      <c r="U82" s="178">
        <v>26.971659999999996</v>
      </c>
      <c r="V82" s="178">
        <v>87.398989999999998</v>
      </c>
      <c r="W82" s="175">
        <v>7.1461560000000004</v>
      </c>
      <c r="X82" s="175">
        <v>10.46528</v>
      </c>
      <c r="Y82" s="175">
        <v>4.6306E-2</v>
      </c>
      <c r="Z82" s="175">
        <v>7.5111470000000002</v>
      </c>
      <c r="AA82" s="175">
        <v>7.794956</v>
      </c>
      <c r="AB82" s="175">
        <v>1.3082399999999999E-2</v>
      </c>
      <c r="AC82" s="176">
        <v>86.328233983354409</v>
      </c>
      <c r="AD82" s="175">
        <v>84.75244140625</v>
      </c>
      <c r="AE82" s="178">
        <v>79.963981628417969</v>
      </c>
      <c r="AF82" s="178">
        <v>88.560211181640625</v>
      </c>
      <c r="AG82" s="176">
        <v>57.849212019815319</v>
      </c>
      <c r="AH82" s="175">
        <v>55.135768890380859</v>
      </c>
      <c r="AI82" s="178">
        <v>37.985019683837891</v>
      </c>
      <c r="AJ82" s="178">
        <v>71.146293640136719</v>
      </c>
      <c r="AK82" s="176">
        <v>45.820399999999999</v>
      </c>
      <c r="AL82" s="176"/>
      <c r="AM82" s="175">
        <v>40.594615936279297</v>
      </c>
      <c r="AN82" s="178">
        <v>11.6896753311157</v>
      </c>
      <c r="AO82" s="178">
        <v>77.913841247558594</v>
      </c>
      <c r="AP82" s="175">
        <v>17.901724463613501</v>
      </c>
      <c r="AQ82" s="178">
        <v>2.1612586038843502</v>
      </c>
      <c r="AR82" s="178">
        <v>68.278277211434101</v>
      </c>
    </row>
    <row r="83" spans="1:44">
      <c r="A83" t="s">
        <v>309</v>
      </c>
      <c r="B83" t="s">
        <v>155</v>
      </c>
      <c r="C83">
        <v>2019</v>
      </c>
      <c r="D83" s="176">
        <v>71.009644061138104</v>
      </c>
      <c r="E83" s="175">
        <v>72.548591613769531</v>
      </c>
      <c r="F83" s="178">
        <v>59.317714691162109</v>
      </c>
      <c r="G83" s="178">
        <v>82.72930908203125</v>
      </c>
      <c r="H83" s="176">
        <v>60.873927551663421</v>
      </c>
      <c r="I83" s="175">
        <v>59.77203369140625</v>
      </c>
      <c r="J83" s="178">
        <v>49.216667175292969</v>
      </c>
      <c r="K83" s="178">
        <v>69.493354797363281</v>
      </c>
      <c r="L83" s="176">
        <v>30.704223106307971</v>
      </c>
      <c r="M83" s="175">
        <v>29.316944122314453</v>
      </c>
      <c r="N83" s="178">
        <v>17.139041900634766</v>
      </c>
      <c r="O83" s="178">
        <v>45.406105041503906</v>
      </c>
      <c r="P83" s="176"/>
      <c r="Q83" s="175">
        <v>22.049863815307617</v>
      </c>
      <c r="R83" s="178">
        <v>13.499626159667969</v>
      </c>
      <c r="S83" s="178">
        <v>33.893604278564453</v>
      </c>
      <c r="T83" s="175">
        <v>3.7941199999999999</v>
      </c>
      <c r="U83" s="178">
        <v>0.78685000000000005</v>
      </c>
      <c r="V83" s="178">
        <v>16.395520000000001</v>
      </c>
      <c r="W83" s="175">
        <v>3.5857000000000001</v>
      </c>
      <c r="X83" s="175">
        <v>5.7107060000000001</v>
      </c>
      <c r="Y83" s="175">
        <v>2.6851199999999999E-2</v>
      </c>
      <c r="Z83" s="175">
        <v>5.013147</v>
      </c>
      <c r="AA83" s="175">
        <v>4.7427229999999998</v>
      </c>
      <c r="AB83" s="175">
        <v>8.0546099999999995E-2</v>
      </c>
      <c r="AC83" s="176">
        <v>35.586412518639023</v>
      </c>
      <c r="AD83" s="175">
        <v>36.924655914306641</v>
      </c>
      <c r="AE83" s="178">
        <v>29.492729187011719</v>
      </c>
      <c r="AF83" s="178">
        <v>45.033210754394531</v>
      </c>
      <c r="AG83" s="176">
        <v>1.109451868320271</v>
      </c>
      <c r="AH83" s="175">
        <v>1.0765788555145264</v>
      </c>
      <c r="AI83" s="178">
        <v>0.36324867606163025</v>
      </c>
      <c r="AJ83" s="178">
        <v>3.1464748382568359</v>
      </c>
      <c r="AK83" s="176">
        <v>54.529522999999998</v>
      </c>
      <c r="AL83" s="176"/>
      <c r="AM83" s="175">
        <v>18.806598663330099</v>
      </c>
      <c r="AN83" s="178">
        <v>9.5125370025634801</v>
      </c>
      <c r="AO83" s="178">
        <v>33.790328979492202</v>
      </c>
      <c r="AP83" s="175">
        <v>8.4565874858604388</v>
      </c>
      <c r="AQ83" s="178">
        <v>1.1811009318744701</v>
      </c>
      <c r="AR83" s="178">
        <v>41.656432665847895</v>
      </c>
    </row>
    <row r="84" spans="1:44">
      <c r="A84" t="s">
        <v>306</v>
      </c>
      <c r="B84" t="s">
        <v>152</v>
      </c>
      <c r="C84">
        <v>2019</v>
      </c>
      <c r="D84" s="176">
        <v>84.335708006369416</v>
      </c>
      <c r="E84" s="175">
        <v>84.382644653320313</v>
      </c>
      <c r="F84" s="178">
        <v>75.0474853515625</v>
      </c>
      <c r="G84" s="178">
        <v>90.660011291503906</v>
      </c>
      <c r="H84" s="176">
        <v>81.660309852834544</v>
      </c>
      <c r="I84" s="175">
        <v>80.706832885742188</v>
      </c>
      <c r="J84" s="178">
        <v>74.220489501953125</v>
      </c>
      <c r="K84" s="178">
        <v>85.871818542480469</v>
      </c>
      <c r="L84" s="176">
        <v>61.499646660579309</v>
      </c>
      <c r="M84" s="175">
        <v>62.267173767089844</v>
      </c>
      <c r="N84" s="178">
        <v>46.880699157714844</v>
      </c>
      <c r="O84" s="178">
        <v>75.523712158203125</v>
      </c>
      <c r="P84" s="176">
        <v>57.583625725703492</v>
      </c>
      <c r="Q84" s="175">
        <v>58.129318237304688</v>
      </c>
      <c r="R84" s="178">
        <v>43.591728210449219</v>
      </c>
      <c r="S84" s="178">
        <v>71.380096435546875</v>
      </c>
      <c r="T84" s="175">
        <v>31.878970000000002</v>
      </c>
      <c r="U84" s="178">
        <v>7.9550399999999994</v>
      </c>
      <c r="V84" s="178">
        <v>71.703329999999994</v>
      </c>
      <c r="W84" s="175">
        <v>36.432169999999999</v>
      </c>
      <c r="X84" s="175">
        <v>2.1167590000000001</v>
      </c>
      <c r="Y84" s="175">
        <v>0.12040960000000001</v>
      </c>
      <c r="Z84" s="175">
        <v>31.61063</v>
      </c>
      <c r="AA84" s="175">
        <v>0.94077469999999996</v>
      </c>
      <c r="AB84" s="175">
        <v>7.7822799999999998E-2</v>
      </c>
      <c r="AC84" s="176">
        <v>73.165318967503481</v>
      </c>
      <c r="AD84" s="175">
        <v>73.235557556152344</v>
      </c>
      <c r="AE84" s="178">
        <v>66.099700927734375</v>
      </c>
      <c r="AF84" s="178">
        <v>79.338859558105469</v>
      </c>
      <c r="AG84" s="176">
        <v>1.020212157363164</v>
      </c>
      <c r="AH84" s="175">
        <v>0.94057333469390869</v>
      </c>
      <c r="AI84" s="178">
        <v>0.33649745583534241</v>
      </c>
      <c r="AJ84" s="178">
        <v>2.6007788181304932</v>
      </c>
      <c r="AK84" s="176">
        <v>19.229037999999999</v>
      </c>
      <c r="AL84" s="176">
        <v>74.471955176091228</v>
      </c>
      <c r="AM84" s="175">
        <v>78.435295104980497</v>
      </c>
      <c r="AN84" s="178">
        <v>65.938613891601605</v>
      </c>
      <c r="AO84" s="178">
        <v>87.234703063964801</v>
      </c>
      <c r="AP84" s="175">
        <v>29.010147500701898</v>
      </c>
      <c r="AQ84" s="178">
        <v>23.625442557143799</v>
      </c>
      <c r="AR84" s="178">
        <v>35.058765553273005</v>
      </c>
    </row>
    <row r="85" spans="1:44">
      <c r="A85" t="s">
        <v>314</v>
      </c>
      <c r="B85" t="s">
        <v>160</v>
      </c>
      <c r="C85">
        <v>2019</v>
      </c>
      <c r="D85" s="176">
        <v>91.202836630809529</v>
      </c>
      <c r="E85" s="175">
        <v>91.713531494140625</v>
      </c>
      <c r="F85" s="178">
        <v>84.936103820800781</v>
      </c>
      <c r="G85" s="178">
        <v>95.599685668945313</v>
      </c>
      <c r="H85" s="176">
        <v>84.022179933381139</v>
      </c>
      <c r="I85" s="175">
        <v>85.404953002929688</v>
      </c>
      <c r="J85" s="178">
        <v>77.421669006347656</v>
      </c>
      <c r="K85" s="178">
        <v>90.897369384765625</v>
      </c>
      <c r="L85" s="176">
        <v>61.812674285623842</v>
      </c>
      <c r="M85" s="175">
        <v>64.769538879394531</v>
      </c>
      <c r="N85" s="178">
        <v>46.060466766357422</v>
      </c>
      <c r="O85" s="178">
        <v>79.83087158203125</v>
      </c>
      <c r="P85" s="176"/>
      <c r="Q85" s="175">
        <v>30.782573699951172</v>
      </c>
      <c r="R85" s="178">
        <v>18.471078872680664</v>
      </c>
      <c r="S85" s="178">
        <v>46.608814239501953</v>
      </c>
      <c r="T85" s="175">
        <v>11.89432</v>
      </c>
      <c r="U85" s="178">
        <v>3.04928</v>
      </c>
      <c r="V85" s="178">
        <v>36.687289999999997</v>
      </c>
      <c r="W85" s="175">
        <v>4.9751969999999996</v>
      </c>
      <c r="X85" s="175">
        <v>9.2780179999999994</v>
      </c>
      <c r="Y85" s="175">
        <v>3.7520199999999997E-2</v>
      </c>
      <c r="Z85" s="175">
        <v>5.4976950000000002</v>
      </c>
      <c r="AA85" s="175">
        <v>3.4107090000000002</v>
      </c>
      <c r="AB85" s="175">
        <v>0</v>
      </c>
      <c r="AC85" s="176">
        <v>34.960776451734063</v>
      </c>
      <c r="AD85" s="175">
        <v>37.804378509521484</v>
      </c>
      <c r="AE85" s="178">
        <v>29.904386520385742</v>
      </c>
      <c r="AF85" s="178">
        <v>46.409584045410156</v>
      </c>
      <c r="AG85" s="176">
        <v>34.414716312837122</v>
      </c>
      <c r="AH85" s="175">
        <v>22.899816513061523</v>
      </c>
      <c r="AI85" s="178">
        <v>11.385265350341797</v>
      </c>
      <c r="AJ85" s="178">
        <v>40.709793090820313</v>
      </c>
      <c r="AK85" s="176"/>
      <c r="AL85" s="176"/>
      <c r="AM85" s="175">
        <v>57.275642395019503</v>
      </c>
      <c r="AN85" s="178">
        <v>39.153575897216797</v>
      </c>
      <c r="AO85" s="178">
        <v>73.634819030761705</v>
      </c>
      <c r="AP85" s="175">
        <v>11.1693552055405</v>
      </c>
      <c r="AQ85" s="178">
        <v>1.14966668440424</v>
      </c>
      <c r="AR85" s="178">
        <v>57.615752849407698</v>
      </c>
    </row>
    <row r="86" spans="1:44">
      <c r="A86" t="s">
        <v>318</v>
      </c>
      <c r="B86" t="s">
        <v>164</v>
      </c>
      <c r="C86">
        <v>2019</v>
      </c>
      <c r="D86" s="176">
        <v>93.451923172829794</v>
      </c>
      <c r="E86" s="175">
        <v>93.946784973144531</v>
      </c>
      <c r="F86" s="178">
        <v>90.702568054199219</v>
      </c>
      <c r="G86" s="178">
        <v>96.107551574707031</v>
      </c>
      <c r="H86" s="176">
        <v>89.637104872463752</v>
      </c>
      <c r="I86" s="175">
        <v>93.256431579589844</v>
      </c>
      <c r="J86" s="178">
        <v>90.375152587890625</v>
      </c>
      <c r="K86" s="178">
        <v>95.319847106933594</v>
      </c>
      <c r="L86" s="176">
        <v>67.39296532216764</v>
      </c>
      <c r="M86" s="175">
        <v>70.936943054199219</v>
      </c>
      <c r="N86" s="178">
        <v>54.599361419677734</v>
      </c>
      <c r="O86" s="178">
        <v>83.203948974609375</v>
      </c>
      <c r="P86" s="176">
        <v>19.17830674997834</v>
      </c>
      <c r="Q86" s="175">
        <v>22.658231735229492</v>
      </c>
      <c r="R86" s="178">
        <v>15.551265716552734</v>
      </c>
      <c r="S86" s="178">
        <v>31.790435791015625</v>
      </c>
      <c r="T86" s="175">
        <v>5.2184800000000005</v>
      </c>
      <c r="U86" s="178">
        <v>3.6319200000000005</v>
      </c>
      <c r="V86" s="178">
        <v>7.4445800000000002</v>
      </c>
      <c r="W86" s="175">
        <v>13.52075</v>
      </c>
      <c r="X86" s="175">
        <v>2.0942750000000001</v>
      </c>
      <c r="Y86" s="175">
        <v>0.1280037</v>
      </c>
      <c r="Z86" s="175">
        <v>18.924949999999999</v>
      </c>
      <c r="AA86" s="175">
        <v>1.4263250000000001</v>
      </c>
      <c r="AB86" s="175">
        <v>0.26699790000000001</v>
      </c>
      <c r="AC86" s="176">
        <v>72.880130181084567</v>
      </c>
      <c r="AD86" s="175">
        <v>74.865570068359375</v>
      </c>
      <c r="AE86" s="178">
        <v>68.191482543945313</v>
      </c>
      <c r="AF86" s="178">
        <v>80.5389404296875</v>
      </c>
      <c r="AG86" s="176">
        <v>4.8878390020739948</v>
      </c>
      <c r="AH86" s="175">
        <v>3.4913740158081055</v>
      </c>
      <c r="AI86" s="178">
        <v>1.0635628700256348</v>
      </c>
      <c r="AJ86" s="178">
        <v>10.85323429107666</v>
      </c>
      <c r="AK86" s="176"/>
      <c r="AL86" s="176">
        <v>60.798613265511491</v>
      </c>
      <c r="AM86" s="175">
        <v>66.061363220214801</v>
      </c>
      <c r="AN86" s="178">
        <v>54.728698730468793</v>
      </c>
      <c r="AO86" s="178">
        <v>75.810997009277301</v>
      </c>
      <c r="AP86" s="175">
        <v>27.010866578216604</v>
      </c>
      <c r="AQ86" s="178">
        <v>22.326199647326998</v>
      </c>
      <c r="AR86" s="178">
        <v>32.270124867986603</v>
      </c>
    </row>
    <row r="87" spans="1:44">
      <c r="A87" t="s">
        <v>317</v>
      </c>
      <c r="B87" t="s">
        <v>163</v>
      </c>
      <c r="C87">
        <v>2019</v>
      </c>
      <c r="D87" s="176">
        <v>83.127485853499309</v>
      </c>
      <c r="E87" s="175">
        <v>85.852508544921875</v>
      </c>
      <c r="F87" s="178">
        <v>67.895957946777344</v>
      </c>
      <c r="G87" s="178">
        <v>94.568923950195313</v>
      </c>
      <c r="H87" s="176">
        <v>81.61223828158893</v>
      </c>
      <c r="I87" s="175">
        <v>85.852508544921875</v>
      </c>
      <c r="J87" s="178">
        <v>75.456634521484375</v>
      </c>
      <c r="K87" s="178">
        <v>93.693016052246094</v>
      </c>
      <c r="L87" s="176">
        <v>79.361662991607758</v>
      </c>
      <c r="M87" s="175">
        <v>84.735366821289063</v>
      </c>
      <c r="N87" s="178">
        <v>63.957046508789063</v>
      </c>
      <c r="O87" s="178">
        <v>94.555023193359375</v>
      </c>
      <c r="P87" s="176">
        <v>55.443436908448398</v>
      </c>
      <c r="Q87" s="175">
        <v>57.586376190185547</v>
      </c>
      <c r="R87" s="178">
        <v>32.119571685791016</v>
      </c>
      <c r="S87" s="178">
        <v>79.5745849609375</v>
      </c>
      <c r="T87" s="175">
        <v>29.423709999999996</v>
      </c>
      <c r="U87" s="178">
        <v>9.1639799999999987</v>
      </c>
      <c r="V87" s="178">
        <v>63.273969999999998</v>
      </c>
      <c r="W87" s="175">
        <v>21.056899999999999</v>
      </c>
      <c r="X87" s="175">
        <v>17.018640000000001</v>
      </c>
      <c r="Y87" s="175">
        <v>4.3549400000000002E-2</v>
      </c>
      <c r="Z87" s="175">
        <v>20.987010000000001</v>
      </c>
      <c r="AA87" s="175">
        <v>14.33196</v>
      </c>
      <c r="AB87" s="175">
        <v>0.1545716</v>
      </c>
      <c r="AC87" s="176">
        <v>72.969398362373013</v>
      </c>
      <c r="AD87" s="175">
        <v>78.243843078613281</v>
      </c>
      <c r="AE87" s="178">
        <v>55.278419494628906</v>
      </c>
      <c r="AF87" s="178">
        <v>91.277030944824219</v>
      </c>
      <c r="AG87" s="176">
        <v>24.555683477325989</v>
      </c>
      <c r="AH87" s="175">
        <v>21.008888244628906</v>
      </c>
      <c r="AI87" s="178">
        <v>4.6617550849914551</v>
      </c>
      <c r="AJ87" s="178">
        <v>59.128009796142578</v>
      </c>
      <c r="AK87" s="176">
        <v>29.904515</v>
      </c>
      <c r="AL87" s="176"/>
      <c r="AM87" s="175">
        <v>63.925266265869098</v>
      </c>
      <c r="AN87" s="178">
        <v>25.3722629547119</v>
      </c>
      <c r="AO87" s="178">
        <v>90.230476379394503</v>
      </c>
      <c r="AP87" s="175">
        <v>32.318976406726804</v>
      </c>
      <c r="AQ87" s="178">
        <v>23.659594646837899</v>
      </c>
      <c r="AR87" s="178">
        <v>42.3879182870036</v>
      </c>
    </row>
    <row r="88" spans="1:44">
      <c r="A88" t="s">
        <v>315</v>
      </c>
      <c r="B88" t="s">
        <v>161</v>
      </c>
      <c r="C88">
        <v>2019</v>
      </c>
      <c r="D88" s="176">
        <v>67.16843421238363</v>
      </c>
      <c r="E88" s="175">
        <v>67.916671752929688</v>
      </c>
      <c r="F88" s="178">
        <v>56.059993743896484</v>
      </c>
      <c r="G88" s="178">
        <v>77.838729858398438</v>
      </c>
      <c r="H88" s="176">
        <v>46.676635800942847</v>
      </c>
      <c r="I88" s="175">
        <v>49.469112396240234</v>
      </c>
      <c r="J88" s="178">
        <v>41.781642913818359</v>
      </c>
      <c r="K88" s="178">
        <v>57.1817626953125</v>
      </c>
      <c r="L88" s="176">
        <v>16.868071300136521</v>
      </c>
      <c r="M88" s="175">
        <v>16.518819808959961</v>
      </c>
      <c r="N88" s="178">
        <v>9.433380126953125</v>
      </c>
      <c r="O88" s="178">
        <v>27.320728302001953</v>
      </c>
      <c r="P88" s="176"/>
      <c r="Q88" s="175">
        <v>13.935646057128906</v>
      </c>
      <c r="R88" s="178">
        <v>8.8911933898925781</v>
      </c>
      <c r="S88" s="178">
        <v>21.176862716674805</v>
      </c>
      <c r="T88" s="175">
        <v>2.1385399999999999</v>
      </c>
      <c r="U88" s="178">
        <v>0.31302000000000002</v>
      </c>
      <c r="V88" s="178">
        <v>13.200609999999999</v>
      </c>
      <c r="W88" s="175">
        <v>2.9664640000000002</v>
      </c>
      <c r="X88" s="175">
        <v>4.3848849999999997</v>
      </c>
      <c r="Y88" s="175">
        <v>1.21414E-2</v>
      </c>
      <c r="Z88" s="175">
        <v>0.15079899999999999</v>
      </c>
      <c r="AA88" s="175">
        <v>2.7293889999999998</v>
      </c>
      <c r="AB88" s="175">
        <v>0</v>
      </c>
      <c r="AC88" s="176">
        <v>14.30938558067368</v>
      </c>
      <c r="AD88" s="175">
        <v>15.502062797546387</v>
      </c>
      <c r="AE88" s="178">
        <v>11.962126731872559</v>
      </c>
      <c r="AF88" s="178">
        <v>19.853330612182617</v>
      </c>
      <c r="AG88" s="176">
        <v>0.63787361875013882</v>
      </c>
      <c r="AH88" s="175">
        <v>0.30422213673591614</v>
      </c>
      <c r="AI88" s="178">
        <v>0.11506852507591248</v>
      </c>
      <c r="AJ88" s="178">
        <v>0.80181694030761719</v>
      </c>
      <c r="AK88" s="176"/>
      <c r="AL88" s="176">
        <v>22.381482479285548</v>
      </c>
      <c r="AM88" s="175">
        <v>20.090276718139599</v>
      </c>
      <c r="AN88" s="178">
        <v>12.581967353820801</v>
      </c>
      <c r="AO88" s="178">
        <v>30.515132904052699</v>
      </c>
      <c r="AP88" s="175">
        <v>8.5471101516651196</v>
      </c>
      <c r="AQ88" s="178">
        <v>1.2124905835216899</v>
      </c>
      <c r="AR88" s="178">
        <v>41.576893821395899</v>
      </c>
    </row>
    <row r="89" spans="1:44">
      <c r="A89" t="s">
        <v>316</v>
      </c>
      <c r="B89" t="s">
        <v>162</v>
      </c>
      <c r="C89">
        <v>2019</v>
      </c>
      <c r="D89" s="176">
        <v>81.205885421366801</v>
      </c>
      <c r="E89" s="175">
        <v>81.094261169433594</v>
      </c>
      <c r="F89" s="178">
        <v>74.181800842285156</v>
      </c>
      <c r="G89" s="178">
        <v>86.492988586425781</v>
      </c>
      <c r="H89" s="176">
        <v>75.838883352735351</v>
      </c>
      <c r="I89" s="175">
        <v>75.429244995117188</v>
      </c>
      <c r="J89" s="178">
        <v>70.658111572265625</v>
      </c>
      <c r="K89" s="178">
        <v>79.648033142089844</v>
      </c>
      <c r="L89" s="176">
        <v>28.319390091768291</v>
      </c>
      <c r="M89" s="175">
        <v>27.827974319458008</v>
      </c>
      <c r="N89" s="178">
        <v>20.684282302856445</v>
      </c>
      <c r="O89" s="178">
        <v>36.309429168701172</v>
      </c>
      <c r="P89" s="176">
        <v>21.318063054879119</v>
      </c>
      <c r="Q89" s="175">
        <v>21.075946807861328</v>
      </c>
      <c r="R89" s="178">
        <v>15.173454284667969</v>
      </c>
      <c r="S89" s="178">
        <v>28.502998352050781</v>
      </c>
      <c r="T89" s="175">
        <v>1.4757199999999999</v>
      </c>
      <c r="U89" s="178">
        <v>1.0836000000000001</v>
      </c>
      <c r="V89" s="178">
        <v>2.0068600000000001</v>
      </c>
      <c r="W89" s="175">
        <v>4.0850520000000001</v>
      </c>
      <c r="X89" s="175">
        <v>4.8387209999999996</v>
      </c>
      <c r="Y89" s="175">
        <v>3.7604800000000001E-2</v>
      </c>
      <c r="Z89" s="175">
        <v>4.5344689999999996</v>
      </c>
      <c r="AA89" s="175">
        <v>3.5981209999999999</v>
      </c>
      <c r="AB89" s="175">
        <v>0.14016700000000001</v>
      </c>
      <c r="AC89" s="176">
        <v>41.807688043793668</v>
      </c>
      <c r="AD89" s="175">
        <v>42.993827819824219</v>
      </c>
      <c r="AE89" s="178">
        <v>39.314987182617188</v>
      </c>
      <c r="AF89" s="178">
        <v>46.751708984375</v>
      </c>
      <c r="AG89" s="176">
        <v>8.7976454740869681</v>
      </c>
      <c r="AH89" s="175">
        <v>4.7596502304077148</v>
      </c>
      <c r="AI89" s="178">
        <v>3.2266840934753418</v>
      </c>
      <c r="AJ89" s="178">
        <v>6.9684720039367676</v>
      </c>
      <c r="AK89" s="176">
        <v>15.808614</v>
      </c>
      <c r="AL89" s="176">
        <v>33.07116236302322</v>
      </c>
      <c r="AM89" s="175">
        <v>34.036060333252003</v>
      </c>
      <c r="AN89" s="178">
        <v>26.333372116088899</v>
      </c>
      <c r="AO89" s="178">
        <v>42.686283111572301</v>
      </c>
      <c r="AP89" s="175">
        <v>9.5305417097923293</v>
      </c>
      <c r="AQ89" s="178">
        <v>1.3624824089518299</v>
      </c>
      <c r="AR89" s="178">
        <v>44.549787557872399</v>
      </c>
    </row>
    <row r="90" spans="1:44">
      <c r="A90" t="s">
        <v>304</v>
      </c>
      <c r="B90" t="s">
        <v>150</v>
      </c>
      <c r="C90">
        <v>2019</v>
      </c>
      <c r="D90" s="176">
        <v>99.373797550025998</v>
      </c>
      <c r="E90" s="175">
        <v>99.5560302734375</v>
      </c>
      <c r="F90" s="178">
        <v>98.818778991699219</v>
      </c>
      <c r="G90" s="178">
        <v>99.833908081054688</v>
      </c>
      <c r="H90" s="176">
        <v>97.687304055200102</v>
      </c>
      <c r="I90" s="175">
        <v>98.442916870117188</v>
      </c>
      <c r="J90" s="178">
        <v>97.358512878417969</v>
      </c>
      <c r="K90" s="178">
        <v>99.086318969726563</v>
      </c>
      <c r="L90" s="176">
        <v>95.859204203828128</v>
      </c>
      <c r="M90" s="175">
        <v>97.165283203125</v>
      </c>
      <c r="N90" s="178">
        <v>94.240287780761719</v>
      </c>
      <c r="O90" s="178">
        <v>98.626502990722656</v>
      </c>
      <c r="P90" s="176">
        <v>76.782382523975954</v>
      </c>
      <c r="Q90" s="175">
        <v>78.194725036621094</v>
      </c>
      <c r="R90" s="178">
        <v>57.225727081298828</v>
      </c>
      <c r="S90" s="178">
        <v>90.576889038085938</v>
      </c>
      <c r="T90" s="175">
        <v>59.27901</v>
      </c>
      <c r="U90" s="178">
        <v>25.06194</v>
      </c>
      <c r="V90" s="178">
        <v>86.369619999999998</v>
      </c>
      <c r="W90" s="175">
        <v>19.472999999999999</v>
      </c>
      <c r="X90" s="175">
        <v>3.1831939999999999</v>
      </c>
      <c r="Y90" s="175">
        <v>0</v>
      </c>
      <c r="Z90" s="175">
        <v>11.336930000000001</v>
      </c>
      <c r="AA90" s="175">
        <v>2.258483</v>
      </c>
      <c r="AB90" s="175">
        <v>9.6870600000000001E-2</v>
      </c>
      <c r="AC90" s="176">
        <v>97.782455162635713</v>
      </c>
      <c r="AD90" s="175">
        <v>95.272727966308594</v>
      </c>
      <c r="AE90" s="178">
        <v>93.319549560546875</v>
      </c>
      <c r="AF90" s="178">
        <v>96.675193786621094</v>
      </c>
      <c r="AG90" s="176">
        <v>79.950468374901178</v>
      </c>
      <c r="AH90" s="175">
        <v>74.66925048828125</v>
      </c>
      <c r="AI90" s="178">
        <v>56.776626586914063</v>
      </c>
      <c r="AJ90" s="178">
        <v>86.868202209472656</v>
      </c>
      <c r="AK90" s="176"/>
      <c r="AL90" s="176">
        <v>99.674048764707535</v>
      </c>
      <c r="AM90" s="175">
        <v>99.531051635742202</v>
      </c>
      <c r="AN90" s="178">
        <v>99.036994934082003</v>
      </c>
      <c r="AO90" s="178">
        <v>99.772224426269503</v>
      </c>
      <c r="AP90" s="175">
        <v>25.347028831724501</v>
      </c>
      <c r="AQ90" s="178">
        <v>1.23054684034636</v>
      </c>
      <c r="AR90" s="178">
        <v>90.246794758945398</v>
      </c>
    </row>
    <row r="91" spans="1:44">
      <c r="A91" t="s">
        <v>319</v>
      </c>
      <c r="B91" t="s">
        <v>165</v>
      </c>
      <c r="C91">
        <v>2019</v>
      </c>
      <c r="D91" s="176">
        <v>93.800543999042333</v>
      </c>
      <c r="E91" s="175">
        <v>94.597869873046875</v>
      </c>
      <c r="F91" s="178">
        <v>91.723312377929688</v>
      </c>
      <c r="G91" s="178">
        <v>96.512039184570313</v>
      </c>
      <c r="H91" s="176">
        <v>90.012543074693866</v>
      </c>
      <c r="I91" s="175">
        <v>91.091148376464844</v>
      </c>
      <c r="J91" s="178">
        <v>88.684242248535156</v>
      </c>
      <c r="K91" s="178">
        <v>93.026351928710938</v>
      </c>
      <c r="L91" s="176">
        <v>72.352007140305119</v>
      </c>
      <c r="M91" s="175">
        <v>76.694442749023438</v>
      </c>
      <c r="N91" s="178">
        <v>67.237747192382813</v>
      </c>
      <c r="O91" s="178">
        <v>84.068275451660156</v>
      </c>
      <c r="P91" s="176">
        <v>35.764001705653527</v>
      </c>
      <c r="Q91" s="175">
        <v>35.836078643798828</v>
      </c>
      <c r="R91" s="178">
        <v>26.115114212036133</v>
      </c>
      <c r="S91" s="178">
        <v>46.879615783691406</v>
      </c>
      <c r="T91" s="175">
        <v>13.837289999999999</v>
      </c>
      <c r="U91" s="178">
        <v>10.298080000000001</v>
      </c>
      <c r="V91" s="178">
        <v>18.344089999999998</v>
      </c>
      <c r="W91" s="175">
        <v>8.8391509999999993</v>
      </c>
      <c r="X91" s="175">
        <v>2.4917980000000002</v>
      </c>
      <c r="Y91" s="175">
        <v>0.1161118</v>
      </c>
      <c r="Z91" s="175">
        <v>8.6113300000000006</v>
      </c>
      <c r="AA91" s="175">
        <v>0.92695300000000003</v>
      </c>
      <c r="AB91" s="175">
        <v>3.1422600000000002E-2</v>
      </c>
      <c r="AC91" s="176">
        <v>66.579902955507919</v>
      </c>
      <c r="AD91" s="175">
        <v>67.255630493164063</v>
      </c>
      <c r="AE91" s="178">
        <v>60.363735198974609</v>
      </c>
      <c r="AF91" s="178">
        <v>73.475738525390625</v>
      </c>
      <c r="AG91" s="176">
        <v>26.83501562484836</v>
      </c>
      <c r="AH91" s="175">
        <v>25.571176528930664</v>
      </c>
      <c r="AI91" s="178">
        <v>12.459555625915527</v>
      </c>
      <c r="AJ91" s="178">
        <v>45.335060119628906</v>
      </c>
      <c r="AK91" s="176"/>
      <c r="AL91" s="176">
        <v>76.934639779186313</v>
      </c>
      <c r="AM91" s="175">
        <v>75.740753173828097</v>
      </c>
      <c r="AN91" s="178">
        <v>65.331130981445298</v>
      </c>
      <c r="AO91" s="178">
        <v>83.799842834472699</v>
      </c>
      <c r="AP91" s="175">
        <v>22.3416551447174</v>
      </c>
      <c r="AQ91" s="178">
        <v>1.5954761538561699</v>
      </c>
      <c r="AR91" s="178">
        <v>83.619460956414301</v>
      </c>
    </row>
    <row r="92" spans="1:44">
      <c r="A92" t="s">
        <v>320</v>
      </c>
      <c r="B92" t="s">
        <v>166</v>
      </c>
      <c r="C92">
        <v>2019</v>
      </c>
      <c r="D92" s="176">
        <v>96.031454998473649</v>
      </c>
      <c r="E92" s="175">
        <v>96.033470153808594</v>
      </c>
      <c r="F92" s="178">
        <v>92.99151611328125</v>
      </c>
      <c r="G92" s="178">
        <v>97.786529541015625</v>
      </c>
      <c r="H92" s="176">
        <v>94.161902927772886</v>
      </c>
      <c r="I92" s="175">
        <v>94.981834411621094</v>
      </c>
      <c r="J92" s="178">
        <v>89.744895935058594</v>
      </c>
      <c r="K92" s="178">
        <v>97.615501403808594</v>
      </c>
      <c r="L92" s="176">
        <v>93.667299350244576</v>
      </c>
      <c r="M92" s="175">
        <v>94.981834411621094</v>
      </c>
      <c r="N92" s="178">
        <v>87.340835571289063</v>
      </c>
      <c r="O92" s="178">
        <v>98.26873779296875</v>
      </c>
      <c r="P92" s="176"/>
      <c r="Q92" s="175">
        <v>68.821388244628906</v>
      </c>
      <c r="R92" s="178">
        <v>54.744766235351563</v>
      </c>
      <c r="S92" s="178">
        <v>80.110275268554688</v>
      </c>
      <c r="T92" s="175">
        <v>56.280110000000008</v>
      </c>
      <c r="U92" s="178">
        <v>22.491160000000001</v>
      </c>
      <c r="V92" s="178">
        <v>85.098470000000006</v>
      </c>
      <c r="W92" s="175">
        <v>20.52262</v>
      </c>
      <c r="X92" s="175">
        <v>16.953800000000001</v>
      </c>
      <c r="Y92" s="175">
        <v>4.7124300000000001E-2</v>
      </c>
      <c r="Z92" s="175">
        <v>21.112400000000001</v>
      </c>
      <c r="AA92" s="175">
        <v>13.994210000000001</v>
      </c>
      <c r="AB92" s="175">
        <v>0.1514028</v>
      </c>
      <c r="AC92" s="176">
        <v>83.378549979340733</v>
      </c>
      <c r="AD92" s="175">
        <v>81.355888366699219</v>
      </c>
      <c r="AE92" s="178">
        <v>77.936187744140625</v>
      </c>
      <c r="AF92" s="178">
        <v>84.351982116699219</v>
      </c>
      <c r="AG92" s="176">
        <v>33.926509310734431</v>
      </c>
      <c r="AH92" s="175">
        <v>31.184492111206055</v>
      </c>
      <c r="AI92" s="178">
        <v>22.141576766967773</v>
      </c>
      <c r="AJ92" s="178">
        <v>41.931610107421875</v>
      </c>
      <c r="AK92" s="176">
        <v>45.516779</v>
      </c>
      <c r="AL92" s="176"/>
      <c r="AM92" s="175">
        <v>83.537193298339801</v>
      </c>
      <c r="AN92" s="178">
        <v>48.440231323242202</v>
      </c>
      <c r="AO92" s="178">
        <v>96.479705810546903</v>
      </c>
      <c r="AP92" s="175">
        <v>36.159497707401997</v>
      </c>
      <c r="AQ92" s="178">
        <v>28.524473236773503</v>
      </c>
      <c r="AR92" s="178">
        <v>44.563979500431799</v>
      </c>
    </row>
    <row r="93" spans="1:44">
      <c r="A93" t="s">
        <v>323</v>
      </c>
      <c r="B93" t="s">
        <v>169</v>
      </c>
      <c r="C93">
        <v>2019</v>
      </c>
      <c r="D93" s="176">
        <v>46.62692797930503</v>
      </c>
      <c r="E93" s="175">
        <v>49.02972412109375</v>
      </c>
      <c r="F93" s="178">
        <v>29.568777084350586</v>
      </c>
      <c r="G93" s="178">
        <v>68.789268493652344</v>
      </c>
      <c r="H93" s="176">
        <v>44.566762154801168</v>
      </c>
      <c r="I93" s="175">
        <v>48.024410247802734</v>
      </c>
      <c r="J93" s="178">
        <v>34.101596832275391</v>
      </c>
      <c r="K93" s="178">
        <v>62.260986328125</v>
      </c>
      <c r="L93" s="176">
        <v>31.260910083364191</v>
      </c>
      <c r="M93" s="175">
        <v>33.651195526123047</v>
      </c>
      <c r="N93" s="178">
        <v>14.624698638916016</v>
      </c>
      <c r="O93" s="178">
        <v>60.027008056640625</v>
      </c>
      <c r="P93" s="176"/>
      <c r="Q93" s="175">
        <v>28.153566360473633</v>
      </c>
      <c r="R93" s="178">
        <v>14.604562759399414</v>
      </c>
      <c r="S93" s="178">
        <v>47.308723449707031</v>
      </c>
      <c r="T93" s="175">
        <v>9.4786899999999985</v>
      </c>
      <c r="U93" s="178">
        <v>1.37456</v>
      </c>
      <c r="V93" s="178">
        <v>44.031550000000003</v>
      </c>
      <c r="W93" s="175">
        <v>11.18895</v>
      </c>
      <c r="X93" s="175">
        <v>0.48389569999999998</v>
      </c>
      <c r="Y93" s="175">
        <v>0.32112010000000002</v>
      </c>
      <c r="Z93" s="175">
        <v>14.859579999999999</v>
      </c>
      <c r="AA93" s="175">
        <v>1.0196829999999999</v>
      </c>
      <c r="AB93" s="175">
        <v>0.12910569999999999</v>
      </c>
      <c r="AC93" s="176">
        <v>19.14928737925835</v>
      </c>
      <c r="AD93" s="175">
        <v>19.624496459960938</v>
      </c>
      <c r="AE93" s="178">
        <v>14.000676155090332</v>
      </c>
      <c r="AF93" s="178">
        <v>26.803249359130859</v>
      </c>
      <c r="AG93" s="176">
        <v>6.7563554625230591</v>
      </c>
      <c r="AH93" s="175">
        <v>4.8606867790222168</v>
      </c>
      <c r="AI93" s="178">
        <v>1.0579094886779785</v>
      </c>
      <c r="AJ93" s="178">
        <v>19.622058868408203</v>
      </c>
      <c r="AK93" s="176">
        <v>50.296339000000003</v>
      </c>
      <c r="AL93" s="176">
        <v>29.730140881532989</v>
      </c>
      <c r="AM93" s="175">
        <v>35.080982208252003</v>
      </c>
      <c r="AN93" s="178">
        <v>16.700397491455099</v>
      </c>
      <c r="AO93" s="178">
        <v>59.291965484619105</v>
      </c>
      <c r="AP93" s="175">
        <v>12.1846090246719</v>
      </c>
      <c r="AQ93" s="178">
        <v>9.9281607355908008</v>
      </c>
      <c r="AR93" s="178">
        <v>14.8692367539453</v>
      </c>
    </row>
    <row r="94" spans="1:44">
      <c r="A94" t="s">
        <v>325</v>
      </c>
      <c r="B94" t="s">
        <v>171</v>
      </c>
      <c r="C94">
        <v>2019</v>
      </c>
      <c r="D94" s="176">
        <v>99.999996534377146</v>
      </c>
      <c r="E94" s="175">
        <v>98.307197570800781</v>
      </c>
      <c r="F94" s="178">
        <v>97.0927734375</v>
      </c>
      <c r="G94" s="178">
        <v>99.019447326660156</v>
      </c>
      <c r="H94" s="176">
        <v>99.591108693707099</v>
      </c>
      <c r="I94" s="175">
        <v>94.999908447265625</v>
      </c>
      <c r="J94" s="178">
        <v>90.320877075195313</v>
      </c>
      <c r="K94" s="178">
        <v>97.480133056640625</v>
      </c>
      <c r="L94" s="176">
        <v>96.047559358365149</v>
      </c>
      <c r="M94" s="175">
        <v>94.687828063964844</v>
      </c>
      <c r="N94" s="178">
        <v>91.636978149414063</v>
      </c>
      <c r="O94" s="178">
        <v>96.666213989257813</v>
      </c>
      <c r="P94" s="176">
        <v>64.01892537168834</v>
      </c>
      <c r="Q94" s="175">
        <v>62.835765838623047</v>
      </c>
      <c r="R94" s="178">
        <v>49.298366546630859</v>
      </c>
      <c r="S94" s="178">
        <v>74.619529724121094</v>
      </c>
      <c r="T94" s="175">
        <v>39.799970000000002</v>
      </c>
      <c r="U94" s="178">
        <v>32.546960000000006</v>
      </c>
      <c r="V94" s="178">
        <v>47.530369999999998</v>
      </c>
      <c r="W94" s="175">
        <v>9.1995310000000003</v>
      </c>
      <c r="X94" s="175">
        <v>21.748670000000001</v>
      </c>
      <c r="Y94" s="175">
        <v>4.4748499999999997E-2</v>
      </c>
      <c r="Z94" s="175">
        <v>12.543240000000001</v>
      </c>
      <c r="AA94" s="175">
        <v>7.1963569999999999</v>
      </c>
      <c r="AB94" s="175">
        <v>9.7155900000000003E-2</v>
      </c>
      <c r="AC94" s="176">
        <v>91.776426622576423</v>
      </c>
      <c r="AD94" s="175">
        <v>84.677879333496094</v>
      </c>
      <c r="AE94" s="178">
        <v>77.539253234863281</v>
      </c>
      <c r="AF94" s="178">
        <v>89.844802856445313</v>
      </c>
      <c r="AG94" s="176">
        <v>8.5727330809069038</v>
      </c>
      <c r="AH94" s="175">
        <v>10.293018341064453</v>
      </c>
      <c r="AI94" s="178">
        <v>4.2351889610290527</v>
      </c>
      <c r="AJ94" s="178">
        <v>22.940073013305664</v>
      </c>
      <c r="AK94" s="176"/>
      <c r="AL94" s="176">
        <v>80.113170653761671</v>
      </c>
      <c r="AM94" s="175">
        <v>83.294395446777301</v>
      </c>
      <c r="AN94" s="178">
        <v>71.072525024414105</v>
      </c>
      <c r="AO94" s="178">
        <v>91.005973815917997</v>
      </c>
      <c r="AP94" s="175">
        <v>36.111951623881502</v>
      </c>
      <c r="AQ94" s="178">
        <v>29.494043759482601</v>
      </c>
      <c r="AR94" s="178">
        <v>43.302788462259599</v>
      </c>
    </row>
    <row r="95" spans="1:44">
      <c r="A95" t="s">
        <v>321</v>
      </c>
      <c r="B95" t="s">
        <v>167</v>
      </c>
      <c r="C95">
        <v>2019</v>
      </c>
      <c r="D95" s="176">
        <v>93.44206842559035</v>
      </c>
      <c r="E95" s="175">
        <v>93.32989501953125</v>
      </c>
      <c r="F95" s="178">
        <v>89.676010131835938</v>
      </c>
      <c r="G95" s="178">
        <v>95.751853942871094</v>
      </c>
      <c r="H95" s="176">
        <v>92.575071948134024</v>
      </c>
      <c r="I95" s="175">
        <v>93.131385803222656</v>
      </c>
      <c r="J95" s="178">
        <v>89.910171508789063</v>
      </c>
      <c r="K95" s="178">
        <v>95.377090454101563</v>
      </c>
      <c r="L95" s="176">
        <v>85.332388586607649</v>
      </c>
      <c r="M95" s="175">
        <v>86.349769592285156</v>
      </c>
      <c r="N95" s="178">
        <v>78.989906311035156</v>
      </c>
      <c r="O95" s="178">
        <v>91.411773681640625</v>
      </c>
      <c r="P95" s="176">
        <v>50.988150700546569</v>
      </c>
      <c r="Q95" s="175">
        <v>50.745700836181641</v>
      </c>
      <c r="R95" s="178">
        <v>39.008815765380859</v>
      </c>
      <c r="S95" s="178">
        <v>62.400962829589844</v>
      </c>
      <c r="T95" s="175">
        <v>28.840100000000003</v>
      </c>
      <c r="U95" s="178">
        <v>8.1726499999999991</v>
      </c>
      <c r="V95" s="178">
        <v>64.857739999999993</v>
      </c>
      <c r="W95" s="175">
        <v>19.94577</v>
      </c>
      <c r="X95" s="175">
        <v>16.883790000000001</v>
      </c>
      <c r="Y95" s="175">
        <v>5.0984099999999997E-2</v>
      </c>
      <c r="Z95" s="175">
        <v>21.247779999999999</v>
      </c>
      <c r="AA95" s="175">
        <v>13.62954</v>
      </c>
      <c r="AB95" s="175">
        <v>0.14798140000000001</v>
      </c>
      <c r="AC95" s="176">
        <v>77.883644897759453</v>
      </c>
      <c r="AD95" s="175">
        <v>79.553977966308594</v>
      </c>
      <c r="AE95" s="178">
        <v>74.215095520019531</v>
      </c>
      <c r="AF95" s="178">
        <v>84.025367736816406</v>
      </c>
      <c r="AG95" s="176">
        <v>72.732922772149593</v>
      </c>
      <c r="AH95" s="175">
        <v>62.586666107177734</v>
      </c>
      <c r="AI95" s="178">
        <v>49.212039947509766</v>
      </c>
      <c r="AJ95" s="178">
        <v>74.279960632324219</v>
      </c>
      <c r="AK95" s="176"/>
      <c r="AL95" s="176"/>
      <c r="AM95" s="175">
        <v>80.616447448730497</v>
      </c>
      <c r="AN95" s="178">
        <v>42.776275634765597</v>
      </c>
      <c r="AO95" s="178">
        <v>95.857406616210895</v>
      </c>
      <c r="AP95" s="175">
        <v>35.587540314805601</v>
      </c>
      <c r="AQ95" s="178">
        <v>27.71989733242</v>
      </c>
      <c r="AR95" s="178">
        <v>44.319022395298802</v>
      </c>
    </row>
    <row r="96" spans="1:44">
      <c r="A96" t="s">
        <v>322</v>
      </c>
      <c r="B96" t="s">
        <v>168</v>
      </c>
      <c r="C96">
        <v>2019</v>
      </c>
      <c r="D96" s="176">
        <v>96.562400788519028</v>
      </c>
      <c r="E96" s="175">
        <v>96.411445617675781</v>
      </c>
      <c r="F96" s="178">
        <v>94.013702392578125</v>
      </c>
      <c r="G96" s="178">
        <v>97.870552062988281</v>
      </c>
      <c r="H96" s="176">
        <v>93.691558490891538</v>
      </c>
      <c r="I96" s="175">
        <v>93.730705261230469</v>
      </c>
      <c r="J96" s="178">
        <v>91.672004699707031</v>
      </c>
      <c r="K96" s="178">
        <v>95.306549072265625</v>
      </c>
      <c r="L96" s="176">
        <v>77.303302866989227</v>
      </c>
      <c r="M96" s="175">
        <v>76.262489318847656</v>
      </c>
      <c r="N96" s="178">
        <v>67.433151245117188</v>
      </c>
      <c r="O96" s="178">
        <v>83.29119873046875</v>
      </c>
      <c r="P96" s="176">
        <v>47.231550121853182</v>
      </c>
      <c r="Q96" s="175">
        <v>48.381858825683594</v>
      </c>
      <c r="R96" s="178">
        <v>35.396480560302734</v>
      </c>
      <c r="S96" s="178">
        <v>61.589492797851563</v>
      </c>
      <c r="T96" s="175">
        <v>24.03753</v>
      </c>
      <c r="U96" s="178">
        <v>6.7192699999999999</v>
      </c>
      <c r="V96" s="178">
        <v>58.16104</v>
      </c>
      <c r="W96" s="175">
        <v>30.309460000000001</v>
      </c>
      <c r="X96" s="175">
        <v>2.1814089999999999</v>
      </c>
      <c r="Y96" s="175">
        <v>0.10884199999999999</v>
      </c>
      <c r="Z96" s="175">
        <v>20.299320000000002</v>
      </c>
      <c r="AA96" s="175">
        <v>1.0161929999999999</v>
      </c>
      <c r="AB96" s="175">
        <v>5.9451200000000003E-2</v>
      </c>
      <c r="AC96" s="176">
        <v>80.843500499105829</v>
      </c>
      <c r="AD96" s="175">
        <v>80.16070556640625</v>
      </c>
      <c r="AE96" s="178">
        <v>76.491668701171875</v>
      </c>
      <c r="AF96" s="178">
        <v>83.381515502929688</v>
      </c>
      <c r="AG96" s="176">
        <v>6.7748349870472699</v>
      </c>
      <c r="AH96" s="175">
        <v>5.5673975944519043</v>
      </c>
      <c r="AI96" s="178">
        <v>3.1206710338592529</v>
      </c>
      <c r="AJ96" s="178">
        <v>9.7395973205566406</v>
      </c>
      <c r="AK96" s="176"/>
      <c r="AL96" s="176">
        <v>81.694977697604926</v>
      </c>
      <c r="AM96" s="175">
        <v>83.275398254394503</v>
      </c>
      <c r="AN96" s="178">
        <v>76.698150634765597</v>
      </c>
      <c r="AO96" s="178">
        <v>88.279823303222699</v>
      </c>
      <c r="AP96" s="175">
        <v>16.4962935395905</v>
      </c>
      <c r="AQ96" s="178">
        <v>15.0942409787021</v>
      </c>
      <c r="AR96" s="178">
        <v>18.0009673703948</v>
      </c>
    </row>
    <row r="97" spans="1:44">
      <c r="A97" t="s">
        <v>300</v>
      </c>
      <c r="B97" t="s">
        <v>146</v>
      </c>
      <c r="C97">
        <v>2019</v>
      </c>
      <c r="D97" s="176">
        <v>91.679160807786104</v>
      </c>
      <c r="E97" s="175">
        <v>91.761245727539063</v>
      </c>
      <c r="F97" s="178">
        <v>87.54290771484375</v>
      </c>
      <c r="G97" s="178">
        <v>94.63861083984375</v>
      </c>
      <c r="H97" s="176">
        <v>90.166190018201675</v>
      </c>
      <c r="I97" s="175">
        <v>89.871391296386719</v>
      </c>
      <c r="J97" s="178">
        <v>80.505157470703125</v>
      </c>
      <c r="K97" s="178">
        <v>95.016220092773438</v>
      </c>
      <c r="L97" s="176">
        <v>73.743169634443404</v>
      </c>
      <c r="M97" s="175">
        <v>79.536079406738281</v>
      </c>
      <c r="N97" s="178">
        <v>54.754863739013672</v>
      </c>
      <c r="O97" s="178">
        <v>92.582954406738281</v>
      </c>
      <c r="P97" s="176">
        <v>73.743169634443404</v>
      </c>
      <c r="Q97" s="175">
        <v>78.256996154785156</v>
      </c>
      <c r="R97" s="178">
        <v>69.427978515625</v>
      </c>
      <c r="S97" s="178">
        <v>85.084037780761719</v>
      </c>
      <c r="T97" s="175">
        <v>58.062339999999999</v>
      </c>
      <c r="U97" s="178">
        <v>21.929750000000002</v>
      </c>
      <c r="V97" s="178">
        <v>87.218649999999997</v>
      </c>
      <c r="W97" s="175">
        <v>24.338560000000001</v>
      </c>
      <c r="X97" s="175">
        <v>4.8675389999999998</v>
      </c>
      <c r="Y97" s="175">
        <v>0</v>
      </c>
      <c r="Z97" s="175">
        <v>30.955590000000001</v>
      </c>
      <c r="AA97" s="175">
        <v>2.469379</v>
      </c>
      <c r="AB97" s="175">
        <v>2.5015200000000001E-2</v>
      </c>
      <c r="AC97" s="176">
        <v>78.175591114668947</v>
      </c>
      <c r="AD97" s="175">
        <v>78.502395629882813</v>
      </c>
      <c r="AE97" s="178">
        <v>65.849273681640625</v>
      </c>
      <c r="AF97" s="178">
        <v>87.366844177246094</v>
      </c>
      <c r="AG97" s="176">
        <v>33.846534683554196</v>
      </c>
      <c r="AH97" s="175">
        <v>33.134952545166016</v>
      </c>
      <c r="AI97" s="178">
        <v>11.630024909973145</v>
      </c>
      <c r="AJ97" s="178">
        <v>65.107475280761719</v>
      </c>
      <c r="AK97" s="176">
        <v>39.006309000000002</v>
      </c>
      <c r="AL97" s="176"/>
      <c r="AM97" s="175">
        <v>95.698921203613295</v>
      </c>
      <c r="AN97" s="178">
        <v>91.057792663574205</v>
      </c>
      <c r="AO97" s="178">
        <v>97.984558105468807</v>
      </c>
      <c r="AP97" s="175">
        <v>24.862924608133699</v>
      </c>
      <c r="AQ97" s="178">
        <v>1.3050544587261899</v>
      </c>
      <c r="AR97" s="178">
        <v>89.224841759717194</v>
      </c>
    </row>
    <row r="98" spans="1:44">
      <c r="A98" t="s">
        <v>326</v>
      </c>
      <c r="B98" t="s">
        <v>172</v>
      </c>
      <c r="C98">
        <v>2019</v>
      </c>
      <c r="D98" s="176">
        <v>100</v>
      </c>
      <c r="E98" s="175">
        <v>99.998619079589844</v>
      </c>
      <c r="F98" s="178">
        <v>99.994003295898438</v>
      </c>
      <c r="G98" s="178">
        <v>99.999679565429688</v>
      </c>
      <c r="H98" s="176">
        <v>100</v>
      </c>
      <c r="I98" s="175">
        <v>99.492576599121094</v>
      </c>
      <c r="J98" s="178">
        <v>95.661476135253906</v>
      </c>
      <c r="K98" s="178">
        <v>99.942680358886719</v>
      </c>
      <c r="L98" s="176">
        <v>81.957699212878367</v>
      </c>
      <c r="M98" s="175">
        <v>89.2493896484375</v>
      </c>
      <c r="N98" s="178">
        <v>72.073318481445313</v>
      </c>
      <c r="O98" s="178">
        <v>96.390518188476563</v>
      </c>
      <c r="P98" s="176">
        <v>81.957699212878367</v>
      </c>
      <c r="Q98" s="175">
        <v>81.6910400390625</v>
      </c>
      <c r="R98" s="178">
        <v>50.690986633300781</v>
      </c>
      <c r="S98" s="178">
        <v>95.089607238769531</v>
      </c>
      <c r="T98" s="175">
        <v>68.30619999999999</v>
      </c>
      <c r="U98" s="178">
        <v>32.056190000000001</v>
      </c>
      <c r="V98" s="178">
        <v>90.779039999999995</v>
      </c>
      <c r="W98" s="175">
        <v>23.274619999999999</v>
      </c>
      <c r="X98" s="175">
        <v>4.3085659999999999</v>
      </c>
      <c r="Y98" s="175">
        <v>0</v>
      </c>
      <c r="Z98" s="175">
        <v>20.344470000000001</v>
      </c>
      <c r="AA98" s="175">
        <v>1.9600690000000001</v>
      </c>
      <c r="AB98" s="175">
        <v>2.7271799999999999E-2</v>
      </c>
      <c r="AC98" s="176">
        <v>86.249855396928012</v>
      </c>
      <c r="AD98" s="175">
        <v>86.142379760742188</v>
      </c>
      <c r="AE98" s="178">
        <v>77.083442687988281</v>
      </c>
      <c r="AF98" s="178">
        <v>91.992317199707031</v>
      </c>
      <c r="AG98" s="176">
        <v>54.839560439560962</v>
      </c>
      <c r="AH98" s="175">
        <v>52.093124389648438</v>
      </c>
      <c r="AI98" s="178">
        <v>6.1831974983215332</v>
      </c>
      <c r="AJ98" s="178">
        <v>94.720283508300781</v>
      </c>
      <c r="AK98" s="176"/>
      <c r="AL98" s="176"/>
      <c r="AM98" s="175">
        <v>98.829193115234403</v>
      </c>
      <c r="AN98" s="178">
        <v>93.52197265625</v>
      </c>
      <c r="AO98" s="178">
        <v>99.797798156738295</v>
      </c>
      <c r="AP98" s="175">
        <v>25.2583646591034</v>
      </c>
      <c r="AQ98" s="178">
        <v>1.24389092736031</v>
      </c>
      <c r="AR98" s="178">
        <v>90.066622496456191</v>
      </c>
    </row>
    <row r="99" spans="1:44">
      <c r="A99" t="s">
        <v>327</v>
      </c>
      <c r="B99" t="s">
        <v>173</v>
      </c>
      <c r="C99">
        <v>2019</v>
      </c>
      <c r="D99" s="176">
        <v>97.52189169580771</v>
      </c>
      <c r="E99" s="175">
        <v>97.743545532226563</v>
      </c>
      <c r="F99" s="178">
        <v>95.733787536621094</v>
      </c>
      <c r="G99" s="178">
        <v>98.818222045898438</v>
      </c>
      <c r="H99" s="176">
        <v>96.899033991303753</v>
      </c>
      <c r="I99" s="175">
        <v>97.743545532226563</v>
      </c>
      <c r="J99" s="178">
        <v>94.133682250976563</v>
      </c>
      <c r="K99" s="178">
        <v>99.512374877929688</v>
      </c>
      <c r="L99" s="176">
        <v>76.007706108876292</v>
      </c>
      <c r="M99" s="175">
        <v>91.615394592285156</v>
      </c>
      <c r="N99" s="178">
        <v>64.289970397949219</v>
      </c>
      <c r="O99" s="178">
        <v>98.514472961425781</v>
      </c>
      <c r="P99" s="176">
        <v>76.007706108876292</v>
      </c>
      <c r="Q99" s="175">
        <v>76.168190002441406</v>
      </c>
      <c r="R99" s="178">
        <v>62.344951629638672</v>
      </c>
      <c r="S99" s="178">
        <v>86.052169799804688</v>
      </c>
      <c r="T99" s="175">
        <v>63.877930000000006</v>
      </c>
      <c r="U99" s="178">
        <v>27.942899999999998</v>
      </c>
      <c r="V99" s="178">
        <v>88.967600000000004</v>
      </c>
      <c r="W99" s="175">
        <v>26.09347</v>
      </c>
      <c r="X99" s="175">
        <v>3.7306360000000001</v>
      </c>
      <c r="Y99" s="175">
        <v>0</v>
      </c>
      <c r="Z99" s="175">
        <v>23.03022</v>
      </c>
      <c r="AA99" s="175">
        <v>1.3628309999999999</v>
      </c>
      <c r="AB99" s="175">
        <v>1.5094099999999999E-2</v>
      </c>
      <c r="AC99" s="176">
        <v>89.125249355569167</v>
      </c>
      <c r="AD99" s="175">
        <v>96.865959167480469</v>
      </c>
      <c r="AE99" s="178">
        <v>85.925437927246094</v>
      </c>
      <c r="AF99" s="178">
        <v>99.364982604980469</v>
      </c>
      <c r="AG99" s="176">
        <v>76.304832885509526</v>
      </c>
      <c r="AH99" s="175">
        <v>64.269477844238281</v>
      </c>
      <c r="AI99" s="178">
        <v>9.6234426498413086</v>
      </c>
      <c r="AJ99" s="178">
        <v>96.813743591308594</v>
      </c>
      <c r="AK99" s="176">
        <v>59.520125</v>
      </c>
      <c r="AL99" s="176"/>
      <c r="AM99" s="175">
        <v>98.843193054199205</v>
      </c>
      <c r="AN99" s="178">
        <v>92.862220764160199</v>
      </c>
      <c r="AO99" s="178">
        <v>99.822120666503906</v>
      </c>
      <c r="AP99" s="175">
        <v>25.260133239192999</v>
      </c>
      <c r="AQ99" s="178">
        <v>1.2436190268859499</v>
      </c>
      <c r="AR99" s="178">
        <v>90.0702786274896</v>
      </c>
    </row>
    <row r="100" spans="1:44">
      <c r="A100" t="s">
        <v>328</v>
      </c>
      <c r="B100" t="s">
        <v>174</v>
      </c>
      <c r="C100">
        <v>2019</v>
      </c>
      <c r="D100" s="176">
        <v>82.721484578770884</v>
      </c>
      <c r="E100" s="175">
        <v>83.656631469726563</v>
      </c>
      <c r="F100" s="178">
        <v>75.223960876464844</v>
      </c>
      <c r="G100" s="178">
        <v>89.615409851074219</v>
      </c>
      <c r="H100" s="176">
        <v>60.381927241771997</v>
      </c>
      <c r="I100" s="175">
        <v>59.438632965087891</v>
      </c>
      <c r="J100" s="178">
        <v>50.229434967041016</v>
      </c>
      <c r="K100" s="178">
        <v>68.028450012207031</v>
      </c>
      <c r="L100" s="176">
        <v>12.0546598884474</v>
      </c>
      <c r="M100" s="175">
        <v>12.636929512023926</v>
      </c>
      <c r="N100" s="178">
        <v>6.2546977996826172</v>
      </c>
      <c r="O100" s="178">
        <v>23.87309455871582</v>
      </c>
      <c r="P100" s="176">
        <v>12.0546598884474</v>
      </c>
      <c r="Q100" s="175">
        <v>11.885458946228027</v>
      </c>
      <c r="R100" s="178">
        <v>7.4080986976623535</v>
      </c>
      <c r="S100" s="178">
        <v>18.527400970458984</v>
      </c>
      <c r="T100" s="175">
        <v>2.0995900000000001</v>
      </c>
      <c r="U100" s="178">
        <v>0.30092000000000002</v>
      </c>
      <c r="V100" s="178">
        <v>13.223389999999998</v>
      </c>
      <c r="W100" s="175">
        <v>33.134239999999998</v>
      </c>
      <c r="X100" s="175">
        <v>9.1906459999999992</v>
      </c>
      <c r="Y100" s="175">
        <v>1.27265E-2</v>
      </c>
      <c r="Z100" s="175">
        <v>47.181280000000001</v>
      </c>
      <c r="AA100" s="175">
        <v>9.4289319999999996</v>
      </c>
      <c r="AB100" s="175">
        <v>7.4470999999999999E-3</v>
      </c>
      <c r="AC100" s="176">
        <v>68.859924201842645</v>
      </c>
      <c r="AD100" s="175">
        <v>66.539344787597656</v>
      </c>
      <c r="AE100" s="178">
        <v>57.6832275390625</v>
      </c>
      <c r="AF100" s="178">
        <v>74.365692138671875</v>
      </c>
      <c r="AG100" s="176">
        <v>1.2107023007670401</v>
      </c>
      <c r="AH100" s="175">
        <v>0.69861352443695068</v>
      </c>
      <c r="AI100" s="178">
        <v>0.2069636732339859</v>
      </c>
      <c r="AJ100" s="178">
        <v>2.330916166305542</v>
      </c>
      <c r="AK100" s="176">
        <v>65.144578999999993</v>
      </c>
      <c r="AL100" s="176">
        <v>4.637251289689523</v>
      </c>
      <c r="AM100" s="175">
        <v>5.4436106681823704</v>
      </c>
      <c r="AN100" s="178">
        <v>2.9139308929443399</v>
      </c>
      <c r="AO100" s="178">
        <v>9.9444456100463903</v>
      </c>
      <c r="AP100" s="175">
        <v>7.51425362582102</v>
      </c>
      <c r="AQ100" s="178">
        <v>0.75765128230919299</v>
      </c>
      <c r="AR100" s="178">
        <v>46.371171569674203</v>
      </c>
    </row>
    <row r="101" spans="1:44">
      <c r="A101" t="s">
        <v>296</v>
      </c>
      <c r="B101" t="s">
        <v>142</v>
      </c>
      <c r="C101">
        <v>2019</v>
      </c>
      <c r="D101" s="176">
        <v>98.702777484708562</v>
      </c>
      <c r="E101" s="175">
        <v>98.320533752441406</v>
      </c>
      <c r="F101" s="178">
        <v>95.587257385253906</v>
      </c>
      <c r="G101" s="178">
        <v>99.371925354003906</v>
      </c>
      <c r="H101" s="176">
        <v>96.88750168865522</v>
      </c>
      <c r="I101" s="175">
        <v>98.27874755859375</v>
      </c>
      <c r="J101" s="178">
        <v>96.190727233886719</v>
      </c>
      <c r="K101" s="178">
        <v>99.23138427734375</v>
      </c>
      <c r="L101" s="176">
        <v>94.25743339479223</v>
      </c>
      <c r="M101" s="175">
        <v>96.662879943847656</v>
      </c>
      <c r="N101" s="178">
        <v>86.473731994628906</v>
      </c>
      <c r="O101" s="178">
        <v>99.243804931640625</v>
      </c>
      <c r="P101" s="176"/>
      <c r="Q101" s="175">
        <v>56.512767791748047</v>
      </c>
      <c r="R101" s="178">
        <v>32.470909118652344</v>
      </c>
      <c r="S101" s="178">
        <v>77.83734130859375</v>
      </c>
      <c r="T101" s="175">
        <v>35.141289999999998</v>
      </c>
      <c r="U101" s="178">
        <v>7.4866199999999994</v>
      </c>
      <c r="V101" s="178">
        <v>78.39045999999999</v>
      </c>
      <c r="W101" s="175">
        <v>53.849110000000003</v>
      </c>
      <c r="X101" s="175">
        <v>8.8706300000000002</v>
      </c>
      <c r="Y101" s="175">
        <v>2.8169400000000001E-2</v>
      </c>
      <c r="Z101" s="175">
        <v>37.705689999999997</v>
      </c>
      <c r="AA101" s="175">
        <v>8.3188770000000005</v>
      </c>
      <c r="AB101" s="175">
        <v>7.8324699999999997E-2</v>
      </c>
      <c r="AC101" s="176">
        <v>83.37231795713366</v>
      </c>
      <c r="AD101" s="175">
        <v>91.227447509765625</v>
      </c>
      <c r="AE101" s="178">
        <v>82.745765686035156</v>
      </c>
      <c r="AF101" s="178">
        <v>95.753738403320313</v>
      </c>
      <c r="AG101" s="176">
        <v>5.0336280138312839</v>
      </c>
      <c r="AH101" s="175">
        <v>5.6066527366638184</v>
      </c>
      <c r="AI101" s="178">
        <v>1.1416832208633423</v>
      </c>
      <c r="AJ101" s="178">
        <v>23.400217056274414</v>
      </c>
      <c r="AK101" s="176">
        <v>23.830539999999999</v>
      </c>
      <c r="AL101" s="176"/>
      <c r="AM101" s="175">
        <v>90.068359375</v>
      </c>
      <c r="AN101" s="178">
        <v>77.774421691894503</v>
      </c>
      <c r="AO101" s="178">
        <v>95.9188232421875</v>
      </c>
      <c r="AP101" s="175">
        <v>37.438468529296898</v>
      </c>
      <c r="AQ101" s="178">
        <v>30.467172401999896</v>
      </c>
      <c r="AR101" s="178">
        <v>44.973178075568001</v>
      </c>
    </row>
    <row r="102" spans="1:44">
      <c r="A102" t="s">
        <v>353</v>
      </c>
      <c r="B102" t="s">
        <v>200</v>
      </c>
      <c r="C102">
        <v>2019</v>
      </c>
      <c r="D102" s="176"/>
      <c r="E102" s="175">
        <v>96.235389709472656</v>
      </c>
      <c r="F102" s="178">
        <v>66.247756958007813</v>
      </c>
      <c r="G102" s="178">
        <v>99.700538635253906</v>
      </c>
      <c r="H102" s="176"/>
      <c r="I102" s="175">
        <v>94.586753845214844</v>
      </c>
      <c r="J102" s="178">
        <v>68.148452758789063</v>
      </c>
      <c r="K102" s="178">
        <v>99.304100036621094</v>
      </c>
      <c r="L102" s="176"/>
      <c r="M102" s="175">
        <v>92.426971435546875</v>
      </c>
      <c r="N102" s="178">
        <v>37.490554809570313</v>
      </c>
      <c r="O102" s="178">
        <v>99.598976135253906</v>
      </c>
      <c r="P102" s="176"/>
      <c r="Q102" s="175">
        <v>64.628936767578125</v>
      </c>
      <c r="R102" s="178">
        <v>12.303152084350586</v>
      </c>
      <c r="S102" s="178">
        <v>95.96728515625</v>
      </c>
      <c r="T102" s="175">
        <v>46.299300000000002</v>
      </c>
      <c r="U102" s="178">
        <v>16.737360000000002</v>
      </c>
      <c r="V102" s="178">
        <v>78.713770000000011</v>
      </c>
      <c r="W102" s="175">
        <v>21.410019999999999</v>
      </c>
      <c r="X102" s="175">
        <v>17.061499999999999</v>
      </c>
      <c r="Y102" s="175">
        <v>4.1186599999999997E-2</v>
      </c>
      <c r="Z102" s="175">
        <v>20.904140000000002</v>
      </c>
      <c r="AA102" s="175">
        <v>14.55519</v>
      </c>
      <c r="AB102" s="175">
        <v>0.156666</v>
      </c>
      <c r="AC102" s="176"/>
      <c r="AD102" s="175">
        <v>84.738693237304688</v>
      </c>
      <c r="AE102" s="178">
        <v>53.652156829833984</v>
      </c>
      <c r="AF102" s="178">
        <v>96.381156921386719</v>
      </c>
      <c r="AG102" s="176"/>
      <c r="AH102" s="175">
        <v>22.100242614746094</v>
      </c>
      <c r="AI102" s="178">
        <v>1.9120879173278809</v>
      </c>
      <c r="AJ102" s="178">
        <v>80.502464294433594</v>
      </c>
      <c r="AK102" s="176"/>
      <c r="AL102" s="176"/>
      <c r="AM102" s="175">
        <v>82.637794494628906</v>
      </c>
      <c r="AN102" s="178">
        <v>47.932456970214801</v>
      </c>
      <c r="AO102" s="178">
        <v>96.095046997070298</v>
      </c>
      <c r="AP102" s="175">
        <v>35.983372217146297</v>
      </c>
      <c r="AQ102" s="178">
        <v>28.355964472596799</v>
      </c>
      <c r="AR102" s="178">
        <v>44.391222267107501</v>
      </c>
    </row>
    <row r="103" spans="1:44">
      <c r="A103" t="s">
        <v>356</v>
      </c>
      <c r="B103" t="s">
        <v>204</v>
      </c>
      <c r="C103">
        <v>2019</v>
      </c>
      <c r="D103" s="176">
        <v>98.36196091471011</v>
      </c>
      <c r="E103" s="175">
        <v>98.493476867675781</v>
      </c>
      <c r="F103" s="178">
        <v>96.470863342285156</v>
      </c>
      <c r="G103" s="178">
        <v>99.364532470703125</v>
      </c>
      <c r="H103" s="176">
        <v>91.838258637250917</v>
      </c>
      <c r="I103" s="175">
        <v>91.542526245117188</v>
      </c>
      <c r="J103" s="178">
        <v>83.690628051757813</v>
      </c>
      <c r="K103" s="178">
        <v>95.803787231445313</v>
      </c>
      <c r="L103" s="176">
        <v>90.862686860762182</v>
      </c>
      <c r="M103" s="175">
        <v>91.542526245117188</v>
      </c>
      <c r="N103" s="178">
        <v>73.940383911132813</v>
      </c>
      <c r="O103" s="178">
        <v>97.812782287597656</v>
      </c>
      <c r="P103" s="176">
        <v>46.230121629913747</v>
      </c>
      <c r="Q103" s="175">
        <v>30.39373779296875</v>
      </c>
      <c r="R103" s="178">
        <v>15.438471794128418</v>
      </c>
      <c r="S103" s="178">
        <v>51.0843505859375</v>
      </c>
      <c r="T103" s="175">
        <v>21.941459999999999</v>
      </c>
      <c r="U103" s="178">
        <v>11.558450000000001</v>
      </c>
      <c r="V103" s="178">
        <v>37.678020000000004</v>
      </c>
      <c r="W103" s="175">
        <v>35.091180000000001</v>
      </c>
      <c r="X103" s="175">
        <v>0.7434868</v>
      </c>
      <c r="Y103" s="175">
        <v>0.33357619999999999</v>
      </c>
      <c r="Z103" s="175">
        <v>26.612369999999999</v>
      </c>
      <c r="AA103" s="175">
        <v>0.88838209999999995</v>
      </c>
      <c r="AB103" s="175">
        <v>0.36804530000000002</v>
      </c>
      <c r="AC103" s="176">
        <v>96.76295102562473</v>
      </c>
      <c r="AD103" s="175">
        <v>96.886497497558594</v>
      </c>
      <c r="AE103" s="178">
        <v>94.050987243652344</v>
      </c>
      <c r="AF103" s="178">
        <v>98.393585205078125</v>
      </c>
      <c r="AG103" s="176">
        <v>0.22942915188701249</v>
      </c>
      <c r="AH103" s="175">
        <v>2.3731670379638672</v>
      </c>
      <c r="AI103" s="178">
        <v>3.9149858057498932E-2</v>
      </c>
      <c r="AJ103" s="178">
        <v>60.139541625976563</v>
      </c>
      <c r="AK103" s="176">
        <v>24.953631999999999</v>
      </c>
      <c r="AL103" s="176">
        <v>78.8</v>
      </c>
      <c r="AM103" s="175">
        <v>44.268749237060497</v>
      </c>
      <c r="AN103" s="178">
        <v>8.3110513687133807</v>
      </c>
      <c r="AO103" s="178">
        <v>87.438415527343807</v>
      </c>
      <c r="AP103" s="175">
        <v>13.006587089244102</v>
      </c>
      <c r="AQ103" s="178">
        <v>8.7910533789662004</v>
      </c>
      <c r="AR103" s="178">
        <v>18.826330187728697</v>
      </c>
    </row>
    <row r="104" spans="1:44">
      <c r="A104" t="s">
        <v>337</v>
      </c>
      <c r="B104" t="s">
        <v>183</v>
      </c>
      <c r="C104">
        <v>2019</v>
      </c>
      <c r="D104" s="176">
        <v>98.120474299513177</v>
      </c>
      <c r="E104" s="175">
        <v>97.02337646484375</v>
      </c>
      <c r="F104" s="178">
        <v>92.872894287109375</v>
      </c>
      <c r="G104" s="178">
        <v>98.788352966308594</v>
      </c>
      <c r="H104" s="176">
        <v>78.214459962898388</v>
      </c>
      <c r="I104" s="175">
        <v>80.892578125</v>
      </c>
      <c r="J104" s="178">
        <v>70.521530151367188</v>
      </c>
      <c r="K104" s="178">
        <v>88.224174499511719</v>
      </c>
      <c r="L104" s="176">
        <v>35.828338272845038</v>
      </c>
      <c r="M104" s="175">
        <v>38.704544067382813</v>
      </c>
      <c r="N104" s="178">
        <v>23.825050354003906</v>
      </c>
      <c r="O104" s="178">
        <v>56.040294647216797</v>
      </c>
      <c r="P104" s="176">
        <v>35.828338272845038</v>
      </c>
      <c r="Q104" s="175">
        <v>35.19647216796875</v>
      </c>
      <c r="R104" s="178">
        <v>17.839635848999023</v>
      </c>
      <c r="S104" s="178">
        <v>57.601158142089844</v>
      </c>
      <c r="T104" s="175">
        <v>22.939780000000003</v>
      </c>
      <c r="U104" s="178">
        <v>12.40204</v>
      </c>
      <c r="V104" s="178">
        <v>38.49635</v>
      </c>
      <c r="W104" s="175">
        <v>1.6198520000000001</v>
      </c>
      <c r="X104" s="175">
        <v>6.5461720000000003</v>
      </c>
      <c r="Y104" s="175">
        <v>5.4100799999999998E-2</v>
      </c>
      <c r="Z104" s="175">
        <v>1.941095</v>
      </c>
      <c r="AA104" s="175">
        <v>5.1126310000000004</v>
      </c>
      <c r="AB104" s="175">
        <v>0</v>
      </c>
      <c r="AC104" s="176">
        <v>46.213504751380889</v>
      </c>
      <c r="AD104" s="175">
        <v>47.155181884765625</v>
      </c>
      <c r="AE104" s="178">
        <v>38.483200073242188</v>
      </c>
      <c r="AF104" s="178">
        <v>56.002342224121094</v>
      </c>
      <c r="AG104" s="176">
        <v>16.24879009708965</v>
      </c>
      <c r="AH104" s="175">
        <v>10.309306144714355</v>
      </c>
      <c r="AI104" s="178">
        <v>5.228032112121582</v>
      </c>
      <c r="AJ104" s="178">
        <v>19.322315216064453</v>
      </c>
      <c r="AK104" s="176">
        <v>30.620276</v>
      </c>
      <c r="AL104" s="176">
        <v>53.010311480917387</v>
      </c>
      <c r="AM104" s="175">
        <v>49.195682525634801</v>
      </c>
      <c r="AN104" s="178">
        <v>35.653717041015597</v>
      </c>
      <c r="AO104" s="178">
        <v>62.856716156005902</v>
      </c>
      <c r="AP104" s="175">
        <v>10.5995709794792</v>
      </c>
      <c r="AQ104" s="178">
        <v>1.25425203078896</v>
      </c>
      <c r="AR104" s="178">
        <v>52.5324569276967</v>
      </c>
    </row>
    <row r="105" spans="1:44">
      <c r="A105" t="s">
        <v>330</v>
      </c>
      <c r="B105" t="s">
        <v>176</v>
      </c>
      <c r="C105">
        <v>2019</v>
      </c>
      <c r="D105" s="176">
        <v>86.254806103601098</v>
      </c>
      <c r="E105" s="175">
        <v>87.379287719726563</v>
      </c>
      <c r="F105" s="178">
        <v>80.923393249511719</v>
      </c>
      <c r="G105" s="178">
        <v>91.869880676269531</v>
      </c>
      <c r="H105" s="176">
        <v>83.652191143897866</v>
      </c>
      <c r="I105" s="175">
        <v>83.409103393554688</v>
      </c>
      <c r="J105" s="178">
        <v>79.089668273925781</v>
      </c>
      <c r="K105" s="178">
        <v>86.983123779296875</v>
      </c>
      <c r="L105" s="176">
        <v>70.579841346682613</v>
      </c>
      <c r="M105" s="175">
        <v>70.199356079101563</v>
      </c>
      <c r="N105" s="178">
        <v>60.708927154541016</v>
      </c>
      <c r="O105" s="178">
        <v>78.219856262207031</v>
      </c>
      <c r="P105" s="176"/>
      <c r="Q105" s="175">
        <v>28.969514846801758</v>
      </c>
      <c r="R105" s="178">
        <v>19.992807388305664</v>
      </c>
      <c r="S105" s="178">
        <v>39.963493347167969</v>
      </c>
      <c r="T105" s="175">
        <v>7.8244900000000008</v>
      </c>
      <c r="U105" s="178">
        <v>1.9121599999999999</v>
      </c>
      <c r="V105" s="178">
        <v>26.9878</v>
      </c>
      <c r="W105" s="175">
        <v>1.421214</v>
      </c>
      <c r="X105" s="175">
        <v>27.682500000000001</v>
      </c>
      <c r="Y105" s="175">
        <v>3.5028999999999998E-2</v>
      </c>
      <c r="Z105" s="175">
        <v>0.53097620000000001</v>
      </c>
      <c r="AA105" s="175">
        <v>8.7038829999999994</v>
      </c>
      <c r="AB105" s="175">
        <v>0</v>
      </c>
      <c r="AC105" s="176">
        <v>55.843284280358468</v>
      </c>
      <c r="AD105" s="175">
        <v>56.569053649902344</v>
      </c>
      <c r="AE105" s="178">
        <v>51.819877624511719</v>
      </c>
      <c r="AF105" s="178">
        <v>61.200599670410156</v>
      </c>
      <c r="AG105" s="176">
        <v>8.0852870827108418</v>
      </c>
      <c r="AH105" s="175">
        <v>4.964472770690918</v>
      </c>
      <c r="AI105" s="178">
        <v>3.0059366226196289</v>
      </c>
      <c r="AJ105" s="178">
        <v>8.0926351547241211</v>
      </c>
      <c r="AK105" s="176">
        <v>60.654215999999998</v>
      </c>
      <c r="AL105" s="176">
        <v>21.897293126828799</v>
      </c>
      <c r="AM105" s="175">
        <v>24.1345119476318</v>
      </c>
      <c r="AN105" s="178">
        <v>16.594520568847699</v>
      </c>
      <c r="AO105" s="178">
        <v>33.715541839599602</v>
      </c>
      <c r="AP105" s="175">
        <v>8.832302340425489</v>
      </c>
      <c r="AQ105" s="178">
        <v>1.2888533862203</v>
      </c>
      <c r="AR105" s="178">
        <v>41.821022309981501</v>
      </c>
    </row>
    <row r="106" spans="1:44">
      <c r="A106" t="s">
        <v>335</v>
      </c>
      <c r="B106" t="s">
        <v>181</v>
      </c>
      <c r="C106">
        <v>2019</v>
      </c>
      <c r="D106" s="176">
        <v>99.531452426825268</v>
      </c>
      <c r="E106" s="175">
        <v>99.711715698242188</v>
      </c>
      <c r="F106" s="178">
        <v>99.34075927734375</v>
      </c>
      <c r="G106" s="178">
        <v>99.874198913574219</v>
      </c>
      <c r="H106" s="176">
        <v>94.912364124978325</v>
      </c>
      <c r="I106" s="175">
        <v>97.099922180175781</v>
      </c>
      <c r="J106" s="178">
        <v>95.411048889160156</v>
      </c>
      <c r="K106" s="178">
        <v>98.179100036621094</v>
      </c>
      <c r="L106" s="176">
        <v>92.693959655690094</v>
      </c>
      <c r="M106" s="175">
        <v>94.922630310058594</v>
      </c>
      <c r="N106" s="178">
        <v>90.535675048828125</v>
      </c>
      <c r="O106" s="178">
        <v>97.335952758789063</v>
      </c>
      <c r="P106" s="176">
        <v>75.005242161636744</v>
      </c>
      <c r="Q106" s="175">
        <v>74.880928039550781</v>
      </c>
      <c r="R106" s="178">
        <v>56.498157501220703</v>
      </c>
      <c r="S106" s="178">
        <v>87.248802185058594</v>
      </c>
      <c r="T106" s="175">
        <v>55.557490000000001</v>
      </c>
      <c r="U106" s="178">
        <v>22.389870000000002</v>
      </c>
      <c r="V106" s="178">
        <v>84.41628</v>
      </c>
      <c r="W106" s="175">
        <v>48.11233</v>
      </c>
      <c r="X106" s="175">
        <v>6.1666189999999999</v>
      </c>
      <c r="Y106" s="175">
        <v>0</v>
      </c>
      <c r="Z106" s="175">
        <v>3.7459470000000001</v>
      </c>
      <c r="AA106" s="175">
        <v>1.4882759999999999</v>
      </c>
      <c r="AB106" s="175">
        <v>0</v>
      </c>
      <c r="AC106" s="176">
        <v>97.897026130084271</v>
      </c>
      <c r="AD106" s="175">
        <v>98.322044372558594</v>
      </c>
      <c r="AE106" s="178">
        <v>97.686111450195313</v>
      </c>
      <c r="AF106" s="178">
        <v>98.785377502441406</v>
      </c>
      <c r="AG106" s="176">
        <v>56.806929673787607</v>
      </c>
      <c r="AH106" s="175">
        <v>58.179168701171875</v>
      </c>
      <c r="AI106" s="178">
        <v>39.909652709960938</v>
      </c>
      <c r="AJ106" s="178">
        <v>74.450119018554688</v>
      </c>
      <c r="AK106" s="176">
        <v>13.781751999999999</v>
      </c>
      <c r="AL106" s="176"/>
      <c r="AM106" s="175">
        <v>98.920539855957003</v>
      </c>
      <c r="AN106" s="178">
        <v>97.738243103027301</v>
      </c>
      <c r="AO106" s="178">
        <v>99.488044738769503</v>
      </c>
      <c r="AP106" s="175">
        <v>25.269904282761402</v>
      </c>
      <c r="AQ106" s="178">
        <v>1.24217207616262</v>
      </c>
      <c r="AR106" s="178">
        <v>90.090060678809408</v>
      </c>
    </row>
    <row r="107" spans="1:44">
      <c r="A107" t="s">
        <v>332</v>
      </c>
      <c r="B107" t="s">
        <v>178</v>
      </c>
      <c r="C107">
        <v>2019</v>
      </c>
      <c r="D107" s="176">
        <v>71.446414035719272</v>
      </c>
      <c r="E107" s="175">
        <v>71.742332458496094</v>
      </c>
      <c r="F107" s="178">
        <v>60.352687835693359</v>
      </c>
      <c r="G107" s="178">
        <v>80.895736694335938</v>
      </c>
      <c r="H107" s="176">
        <v>62.58932917184692</v>
      </c>
      <c r="I107" s="175">
        <v>62.259078979492188</v>
      </c>
      <c r="J107" s="178">
        <v>54.653186798095703</v>
      </c>
      <c r="K107" s="178">
        <v>69.305717468261719</v>
      </c>
      <c r="L107" s="176">
        <v>15.58475836935613</v>
      </c>
      <c r="M107" s="175">
        <v>16.405935287475586</v>
      </c>
      <c r="N107" s="178">
        <v>10.752861976623535</v>
      </c>
      <c r="O107" s="178">
        <v>24.224300384521484</v>
      </c>
      <c r="P107" s="176">
        <v>10.26151384895336</v>
      </c>
      <c r="Q107" s="175">
        <v>10.103151321411133</v>
      </c>
      <c r="R107" s="178">
        <v>6.3129944801330566</v>
      </c>
      <c r="S107" s="178">
        <v>15.785412788391113</v>
      </c>
      <c r="T107" s="175">
        <v>0.77533000000000007</v>
      </c>
      <c r="U107" s="178">
        <v>0.49170000000000003</v>
      </c>
      <c r="V107" s="178">
        <v>1.2205699999999999</v>
      </c>
      <c r="W107" s="175">
        <v>2.1001509999999999</v>
      </c>
      <c r="X107" s="175">
        <v>6.7293560000000001</v>
      </c>
      <c r="Y107" s="175">
        <v>3.1229400000000001E-2</v>
      </c>
      <c r="Z107" s="175">
        <v>0.54526030000000003</v>
      </c>
      <c r="AA107" s="175">
        <v>10.89063</v>
      </c>
      <c r="AB107" s="175">
        <v>2.5761999999999998E-3</v>
      </c>
      <c r="AC107" s="176">
        <v>16.184531173345821</v>
      </c>
      <c r="AD107" s="175">
        <v>16.615957260131836</v>
      </c>
      <c r="AE107" s="178">
        <v>13.842260360717773</v>
      </c>
      <c r="AF107" s="178">
        <v>19.817602157592773</v>
      </c>
      <c r="AG107" s="176">
        <v>0.65694836903622056</v>
      </c>
      <c r="AH107" s="175">
        <v>0.1960347443819046</v>
      </c>
      <c r="AI107" s="178">
        <v>0.1051749587059021</v>
      </c>
      <c r="AJ107" s="178">
        <v>0.3651006817817688</v>
      </c>
      <c r="AK107" s="176"/>
      <c r="AL107" s="176">
        <v>20.030596541283401</v>
      </c>
      <c r="AM107" s="175">
        <v>17.735530853271499</v>
      </c>
      <c r="AN107" s="178">
        <v>12.2139940261841</v>
      </c>
      <c r="AO107" s="178">
        <v>25.041151046752901</v>
      </c>
      <c r="AP107" s="175">
        <v>8.3810577118171707</v>
      </c>
      <c r="AQ107" s="178">
        <v>1.15670077085095</v>
      </c>
      <c r="AR107" s="178">
        <v>41.693608688890698</v>
      </c>
    </row>
    <row r="108" spans="1:44">
      <c r="A108" t="s">
        <v>331</v>
      </c>
      <c r="B108" t="s">
        <v>177</v>
      </c>
      <c r="C108">
        <v>2019</v>
      </c>
      <c r="D108" s="176">
        <v>72.962948486941116</v>
      </c>
      <c r="E108" s="175">
        <v>78.804107666015625</v>
      </c>
      <c r="F108" s="178">
        <v>59.318870544433594</v>
      </c>
      <c r="G108" s="178">
        <v>90.457740783691406</v>
      </c>
      <c r="H108" s="176">
        <v>67.153801583478497</v>
      </c>
      <c r="I108" s="175">
        <v>74.347320556640625</v>
      </c>
      <c r="J108" s="178">
        <v>63.022850036621094</v>
      </c>
      <c r="K108" s="178">
        <v>83.131866455078125</v>
      </c>
      <c r="L108" s="176">
        <v>51.485203797691653</v>
      </c>
      <c r="M108" s="175">
        <v>69.23614501953125</v>
      </c>
      <c r="N108" s="178">
        <v>41.141380310058594</v>
      </c>
      <c r="O108" s="178">
        <v>87.873329162597656</v>
      </c>
      <c r="P108" s="176"/>
      <c r="Q108" s="175">
        <v>45.487327575683594</v>
      </c>
      <c r="R108" s="178">
        <v>24.656930923461914</v>
      </c>
      <c r="S108" s="178">
        <v>68.026611328125</v>
      </c>
      <c r="T108" s="175">
        <v>21.177950000000003</v>
      </c>
      <c r="U108" s="178">
        <v>4.2772399999999999</v>
      </c>
      <c r="V108" s="178">
        <v>61.767330000000001</v>
      </c>
      <c r="W108" s="175">
        <v>8.7942889999999991</v>
      </c>
      <c r="X108" s="175">
        <v>0.73745269999999996</v>
      </c>
      <c r="Y108" s="175">
        <v>0.34952610000000001</v>
      </c>
      <c r="Z108" s="175">
        <v>9.5859319999999997</v>
      </c>
      <c r="AA108" s="175">
        <v>1.0718559999999999</v>
      </c>
      <c r="AB108" s="175">
        <v>8.8634400000000002E-2</v>
      </c>
      <c r="AC108" s="176">
        <v>34.4924130063795</v>
      </c>
      <c r="AD108" s="175">
        <v>34.822437286376953</v>
      </c>
      <c r="AE108" s="178">
        <v>25.525629043579102</v>
      </c>
      <c r="AF108" s="178">
        <v>45.439346313476563</v>
      </c>
      <c r="AG108" s="176">
        <v>7.0613206304858052</v>
      </c>
      <c r="AH108" s="175">
        <v>6.3120708465576172</v>
      </c>
      <c r="AI108" s="178">
        <v>1.1478970050811768</v>
      </c>
      <c r="AJ108" s="178">
        <v>28.103818893432617</v>
      </c>
      <c r="AK108" s="176"/>
      <c r="AL108" s="176">
        <v>38.636393043035852</v>
      </c>
      <c r="AM108" s="175">
        <v>44.091392517089801</v>
      </c>
      <c r="AN108" s="178">
        <v>27.793617248535195</v>
      </c>
      <c r="AO108" s="178">
        <v>61.770408630371101</v>
      </c>
      <c r="AP108" s="175">
        <v>12.990719976705901</v>
      </c>
      <c r="AQ108" s="178">
        <v>11.068413768899001</v>
      </c>
      <c r="AR108" s="178">
        <v>15.189858649651001</v>
      </c>
    </row>
    <row r="109" spans="1:44">
      <c r="A109" t="s">
        <v>334</v>
      </c>
      <c r="B109" t="s">
        <v>180</v>
      </c>
      <c r="C109">
        <v>2019</v>
      </c>
      <c r="D109" s="176">
        <v>81.811451725348803</v>
      </c>
      <c r="E109" s="175">
        <v>81.315277099609375</v>
      </c>
      <c r="F109" s="178">
        <v>70.090011596679688</v>
      </c>
      <c r="G109" s="178">
        <v>88.989486694335938</v>
      </c>
      <c r="H109" s="176">
        <v>54.934406612484267</v>
      </c>
      <c r="I109" s="175">
        <v>43.572303771972656</v>
      </c>
      <c r="J109" s="178">
        <v>21.651100158691406</v>
      </c>
      <c r="K109" s="178">
        <v>68.331291198730469</v>
      </c>
      <c r="L109" s="176">
        <v>35.383105224221893</v>
      </c>
      <c r="M109" s="175">
        <v>34.370643615722656</v>
      </c>
      <c r="N109" s="178">
        <v>17.524690628051758</v>
      </c>
      <c r="O109" s="178">
        <v>56.346767425537109</v>
      </c>
      <c r="P109" s="176"/>
      <c r="Q109" s="175">
        <v>25.319248199462891</v>
      </c>
      <c r="R109" s="178">
        <v>15.437419891357422</v>
      </c>
      <c r="S109" s="178">
        <v>38.636501312255859</v>
      </c>
      <c r="T109" s="175">
        <v>4.1492199999999997</v>
      </c>
      <c r="U109" s="178">
        <v>0.93486999999999998</v>
      </c>
      <c r="V109" s="178">
        <v>16.56719</v>
      </c>
      <c r="W109" s="175">
        <v>8.6187360000000002</v>
      </c>
      <c r="X109" s="175">
        <v>9.0845559999999992</v>
      </c>
      <c r="Y109" s="175">
        <v>3.3486099999999998E-2</v>
      </c>
      <c r="Z109" s="175">
        <v>4.9161910000000004</v>
      </c>
      <c r="AA109" s="175">
        <v>11.513669999999999</v>
      </c>
      <c r="AB109" s="175">
        <v>0.4142091</v>
      </c>
      <c r="AC109" s="176">
        <v>38.230904982572277</v>
      </c>
      <c r="AD109" s="175">
        <v>38.646331787109375</v>
      </c>
      <c r="AE109" s="178">
        <v>31.926349639892578</v>
      </c>
      <c r="AF109" s="178">
        <v>45.828525543212891</v>
      </c>
      <c r="AG109" s="176">
        <v>6.3371602880726297</v>
      </c>
      <c r="AH109" s="175">
        <v>3.3936750888824463</v>
      </c>
      <c r="AI109" s="178">
        <v>1.4748798608779907</v>
      </c>
      <c r="AJ109" s="178">
        <v>7.6158294677734375</v>
      </c>
      <c r="AK109" s="176"/>
      <c r="AL109" s="176">
        <v>24.869941066056128</v>
      </c>
      <c r="AM109" s="175">
        <v>20.442653656005898</v>
      </c>
      <c r="AN109" s="178">
        <v>12.786505699157702</v>
      </c>
      <c r="AO109" s="178">
        <v>31.050910949706999</v>
      </c>
      <c r="AP109" s="175">
        <v>15.355973418259799</v>
      </c>
      <c r="AQ109" s="178">
        <v>1.7350996584017799</v>
      </c>
      <c r="AR109" s="178">
        <v>65.083283956220498</v>
      </c>
    </row>
    <row r="110" spans="1:44">
      <c r="A110" t="s">
        <v>358</v>
      </c>
      <c r="B110" t="s">
        <v>206</v>
      </c>
      <c r="C110">
        <v>2019</v>
      </c>
      <c r="D110" s="176">
        <v>96.281051216317209</v>
      </c>
      <c r="E110" s="175">
        <v>95.895187377929688</v>
      </c>
      <c r="F110" s="178">
        <v>93.345794677734375</v>
      </c>
      <c r="G110" s="178">
        <v>97.494064331054688</v>
      </c>
      <c r="H110" s="176">
        <v>93.501226498000406</v>
      </c>
      <c r="I110" s="175">
        <v>92.218063354492188</v>
      </c>
      <c r="J110" s="178">
        <v>84.456321716308594</v>
      </c>
      <c r="K110" s="178">
        <v>96.274925231933594</v>
      </c>
      <c r="L110" s="176">
        <v>77.4818369190684</v>
      </c>
      <c r="M110" s="175">
        <v>77.928268432617188</v>
      </c>
      <c r="N110" s="178">
        <v>68.900550842285156</v>
      </c>
      <c r="O110" s="178">
        <v>84.909339904785156</v>
      </c>
      <c r="P110" s="176"/>
      <c r="Q110" s="175">
        <v>59.468692779541016</v>
      </c>
      <c r="R110" s="178">
        <v>46.837760925292969</v>
      </c>
      <c r="S110" s="178">
        <v>70.959320068359375</v>
      </c>
      <c r="T110" s="175">
        <v>47.203119999999998</v>
      </c>
      <c r="U110" s="178">
        <v>17.393750000000001</v>
      </c>
      <c r="V110" s="178">
        <v>79.149999999999991</v>
      </c>
      <c r="W110" s="175">
        <v>6.4356819999999999</v>
      </c>
      <c r="X110" s="175">
        <v>5.7141289999999998</v>
      </c>
      <c r="Y110" s="175">
        <v>4.9144899999999998E-2</v>
      </c>
      <c r="Z110" s="175">
        <v>5.3900940000000004</v>
      </c>
      <c r="AA110" s="175">
        <v>3.435718</v>
      </c>
      <c r="AB110" s="175">
        <v>1.3708E-2</v>
      </c>
      <c r="AC110" s="176">
        <v>77.584479640033365</v>
      </c>
      <c r="AD110" s="175">
        <v>76.876983642578125</v>
      </c>
      <c r="AE110" s="178">
        <v>73.343154907226563</v>
      </c>
      <c r="AF110" s="178">
        <v>80.06964111328125</v>
      </c>
      <c r="AG110" s="176">
        <v>59.847590672018278</v>
      </c>
      <c r="AH110" s="175">
        <v>47.216373443603516</v>
      </c>
      <c r="AI110" s="178">
        <v>36.940486907958984</v>
      </c>
      <c r="AJ110" s="178">
        <v>57.733680725097656</v>
      </c>
      <c r="AK110" s="176"/>
      <c r="AL110" s="176">
        <v>44.24482361287896</v>
      </c>
      <c r="AM110" s="175">
        <v>53.292812347412102</v>
      </c>
      <c r="AN110" s="178">
        <v>35.889331817627003</v>
      </c>
      <c r="AO110" s="178">
        <v>69.930221557617202</v>
      </c>
      <c r="AP110" s="175">
        <v>10.888493199677301</v>
      </c>
      <c r="AQ110" s="178">
        <v>1.2020177244350201</v>
      </c>
      <c r="AR110" s="178">
        <v>55.099996559267908</v>
      </c>
    </row>
    <row r="111" spans="1:44">
      <c r="A111" t="s">
        <v>336</v>
      </c>
      <c r="B111" t="s">
        <v>182</v>
      </c>
      <c r="C111">
        <v>2019</v>
      </c>
      <c r="D111" s="176">
        <v>78.338982431699165</v>
      </c>
      <c r="E111" s="175">
        <v>77.432518005371094</v>
      </c>
      <c r="F111" s="178">
        <v>62.675075531005859</v>
      </c>
      <c r="G111" s="178">
        <v>87.517280578613281</v>
      </c>
      <c r="H111" s="176">
        <v>40.841656786935097</v>
      </c>
      <c r="I111" s="175">
        <v>44.515460968017578</v>
      </c>
      <c r="J111" s="178">
        <v>33.273281097412109</v>
      </c>
      <c r="K111" s="178">
        <v>56.348426818847656</v>
      </c>
      <c r="L111" s="176">
        <v>2.8000825867181738</v>
      </c>
      <c r="M111" s="175">
        <v>2.9767763614654541</v>
      </c>
      <c r="N111" s="178">
        <v>1.2333242893218994</v>
      </c>
      <c r="O111" s="178">
        <v>7.0098862648010254</v>
      </c>
      <c r="P111" s="176"/>
      <c r="Q111" s="175">
        <v>2.7637064456939697</v>
      </c>
      <c r="R111" s="178">
        <v>1.3718918561935425</v>
      </c>
      <c r="S111" s="178">
        <v>5.4889626502990723</v>
      </c>
      <c r="T111" s="175">
        <v>7.6810000000000003E-2</v>
      </c>
      <c r="U111" s="178">
        <v>9.5399999999999999E-3</v>
      </c>
      <c r="V111" s="178">
        <v>0.61574000000000007</v>
      </c>
      <c r="W111" s="175">
        <v>5.6151999999999997</v>
      </c>
      <c r="X111" s="175">
        <v>7.4066210000000003</v>
      </c>
      <c r="Y111" s="175">
        <v>1.46275E-2</v>
      </c>
      <c r="Z111" s="175">
        <v>0.96140440000000005</v>
      </c>
      <c r="AA111" s="175">
        <v>6.8340310000000004</v>
      </c>
      <c r="AB111" s="175">
        <v>0</v>
      </c>
      <c r="AC111" s="176">
        <v>15.747278017797971</v>
      </c>
      <c r="AD111" s="175">
        <v>13.801461219787598</v>
      </c>
      <c r="AE111" s="178">
        <v>9.0103273391723633</v>
      </c>
      <c r="AF111" s="178">
        <v>20.564441680908203</v>
      </c>
      <c r="AG111" s="176">
        <v>0.76649374596713071</v>
      </c>
      <c r="AH111" s="175">
        <v>0.26472395658493042</v>
      </c>
      <c r="AI111" s="178">
        <v>6.4444459974765778E-2</v>
      </c>
      <c r="AJ111" s="178">
        <v>1.0806978940963745</v>
      </c>
      <c r="AK111" s="176"/>
      <c r="AL111" s="176"/>
      <c r="AM111" s="175">
        <v>14.325613975524901</v>
      </c>
      <c r="AN111" s="178">
        <v>2.1743566989898699</v>
      </c>
      <c r="AO111" s="178">
        <v>55.711078643798793</v>
      </c>
      <c r="AP111" s="175">
        <v>8.1405965114488588</v>
      </c>
      <c r="AQ111" s="178">
        <v>1.04767103863518</v>
      </c>
      <c r="AR111" s="178">
        <v>42.5869713876519</v>
      </c>
    </row>
    <row r="112" spans="1:44">
      <c r="A112" t="s">
        <v>297</v>
      </c>
      <c r="B112" t="s">
        <v>143</v>
      </c>
      <c r="C112">
        <v>2019</v>
      </c>
      <c r="D112" s="176">
        <v>92.812218787140708</v>
      </c>
      <c r="E112" s="175">
        <v>92.788894653320313</v>
      </c>
      <c r="F112" s="178">
        <v>84.630897521972656</v>
      </c>
      <c r="G112" s="178">
        <v>96.781280517578125</v>
      </c>
      <c r="H112" s="176">
        <v>92.216023552167314</v>
      </c>
      <c r="I112" s="175">
        <v>88.459632873535156</v>
      </c>
      <c r="J112" s="178">
        <v>80.127471923828125</v>
      </c>
      <c r="K112" s="178">
        <v>93.578262329101563</v>
      </c>
      <c r="L112" s="176">
        <v>78.424078694288099</v>
      </c>
      <c r="M112" s="175">
        <v>78.002395629882813</v>
      </c>
      <c r="N112" s="178">
        <v>53.603076934814453</v>
      </c>
      <c r="O112" s="178">
        <v>91.58489990234375</v>
      </c>
      <c r="P112" s="176"/>
      <c r="Q112" s="175">
        <v>54.012226104736328</v>
      </c>
      <c r="R112" s="178">
        <v>33.449378967285156</v>
      </c>
      <c r="S112" s="178">
        <v>73.294174194335938</v>
      </c>
      <c r="T112" s="175">
        <v>34.452179999999998</v>
      </c>
      <c r="U112" s="178">
        <v>7.2656600000000005</v>
      </c>
      <c r="V112" s="178">
        <v>77.905429999999996</v>
      </c>
      <c r="W112" s="175">
        <v>50.993029999999997</v>
      </c>
      <c r="X112" s="175">
        <v>2.3810169999999999</v>
      </c>
      <c r="Y112" s="175">
        <v>0.1291167</v>
      </c>
      <c r="Z112" s="175">
        <v>47.659860000000002</v>
      </c>
      <c r="AA112" s="175">
        <v>0.92185519999999999</v>
      </c>
      <c r="AB112" s="175">
        <v>0.1028597</v>
      </c>
      <c r="AC112" s="176">
        <v>93.654396485532018</v>
      </c>
      <c r="AD112" s="175">
        <v>91.438056945800781</v>
      </c>
      <c r="AE112" s="178">
        <v>87.281906127929688</v>
      </c>
      <c r="AF112" s="178">
        <v>94.3243408203125</v>
      </c>
      <c r="AG112" s="176">
        <v>1.768203492047572</v>
      </c>
      <c r="AH112" s="175">
        <v>3.6032192707061768</v>
      </c>
      <c r="AI112" s="178">
        <v>0.86008858680725098</v>
      </c>
      <c r="AJ112" s="178">
        <v>13.871091842651367</v>
      </c>
      <c r="AK112" s="176"/>
      <c r="AL112" s="176"/>
      <c r="AM112" s="175">
        <v>80.396644592285199</v>
      </c>
      <c r="AN112" s="178">
        <v>34.822208404541001</v>
      </c>
      <c r="AO112" s="178">
        <v>96.921340942382798</v>
      </c>
      <c r="AP112" s="175">
        <v>29.327046660064699</v>
      </c>
      <c r="AQ112" s="178">
        <v>22.3065852268277</v>
      </c>
      <c r="AR112" s="178">
        <v>37.4908286314271</v>
      </c>
    </row>
    <row r="113" spans="1:44">
      <c r="A113" t="s">
        <v>329</v>
      </c>
      <c r="B113" t="s">
        <v>175</v>
      </c>
      <c r="C113">
        <v>2019</v>
      </c>
      <c r="D113" s="176">
        <v>87.06058963109993</v>
      </c>
      <c r="E113" s="175">
        <v>87.694488525390625</v>
      </c>
      <c r="F113" s="178">
        <v>67.825950622558594</v>
      </c>
      <c r="G113" s="178">
        <v>96.014511108398438</v>
      </c>
      <c r="H113" s="176">
        <v>60.38348683483337</v>
      </c>
      <c r="I113" s="175">
        <v>71.458999633789063</v>
      </c>
      <c r="J113" s="178">
        <v>55.369590759277344</v>
      </c>
      <c r="K113" s="178">
        <v>83.478813171386719</v>
      </c>
      <c r="L113" s="176">
        <v>38.714217972956703</v>
      </c>
      <c r="M113" s="175">
        <v>51.298564910888672</v>
      </c>
      <c r="N113" s="178">
        <v>24.91851806640625</v>
      </c>
      <c r="O113" s="178">
        <v>76.9744873046875</v>
      </c>
      <c r="P113" s="176"/>
      <c r="Q113" s="175">
        <v>38.580959320068359</v>
      </c>
      <c r="R113" s="178">
        <v>15.670019149780273</v>
      </c>
      <c r="S113" s="178">
        <v>67.984642028808594</v>
      </c>
      <c r="T113" s="175">
        <v>13.340840000000002</v>
      </c>
      <c r="U113" s="178">
        <v>2.91248</v>
      </c>
      <c r="V113" s="178">
        <v>44.13467</v>
      </c>
      <c r="W113" s="175">
        <v>2.397348</v>
      </c>
      <c r="X113" s="175">
        <v>5.1851739999999999</v>
      </c>
      <c r="Y113" s="175">
        <v>2.56809E-2</v>
      </c>
      <c r="Z113" s="175">
        <v>2.8093849999999998</v>
      </c>
      <c r="AA113" s="175">
        <v>3.4934280000000002</v>
      </c>
      <c r="AB113" s="175">
        <v>6.8247799999999997E-2</v>
      </c>
      <c r="AC113" s="176">
        <v>36.778260912172847</v>
      </c>
      <c r="AD113" s="175">
        <v>40.589908599853516</v>
      </c>
      <c r="AE113" s="178">
        <v>27.697334289550781</v>
      </c>
      <c r="AF113" s="178">
        <v>54.924869537353516</v>
      </c>
      <c r="AG113" s="176">
        <v>1.0243276337716869</v>
      </c>
      <c r="AH113" s="175">
        <v>1.5122225284576416</v>
      </c>
      <c r="AI113" s="178">
        <v>0.40850421786308289</v>
      </c>
      <c r="AJ113" s="178">
        <v>5.435276985168457</v>
      </c>
      <c r="AK113" s="176">
        <v>83.062749999999994</v>
      </c>
      <c r="AL113" s="176">
        <v>14.26000000000022</v>
      </c>
      <c r="AM113" s="175">
        <v>16.443220138549801</v>
      </c>
      <c r="AN113" s="178">
        <v>3.2365651130676296</v>
      </c>
      <c r="AO113" s="178">
        <v>53.656711578369098</v>
      </c>
      <c r="AP113" s="175">
        <v>14.850734180696701</v>
      </c>
      <c r="AQ113" s="178">
        <v>1.52221902037011</v>
      </c>
      <c r="AR113" s="178">
        <v>66.305736906514795</v>
      </c>
    </row>
    <row r="114" spans="1:44">
      <c r="A114" t="s">
        <v>338</v>
      </c>
      <c r="B114" t="s">
        <v>184</v>
      </c>
      <c r="C114">
        <v>2019</v>
      </c>
      <c r="D114" s="176">
        <v>98.57158873051462</v>
      </c>
      <c r="E114" s="175">
        <v>98.479690551757813</v>
      </c>
      <c r="F114" s="178">
        <v>96.732406616210938</v>
      </c>
      <c r="G114" s="178">
        <v>99.299415588378906</v>
      </c>
      <c r="H114" s="176">
        <v>97.541774334190904</v>
      </c>
      <c r="I114" s="175">
        <v>96.873992919921875</v>
      </c>
      <c r="J114" s="178">
        <v>94.405158996582031</v>
      </c>
      <c r="K114" s="178">
        <v>98.273330688476563</v>
      </c>
      <c r="L114" s="176">
        <v>95.470054209850645</v>
      </c>
      <c r="M114" s="175">
        <v>95.478919982910156</v>
      </c>
      <c r="N114" s="178">
        <v>90.688804626464844</v>
      </c>
      <c r="O114" s="178">
        <v>97.862846374511719</v>
      </c>
      <c r="P114" s="176">
        <v>55.5342505813001</v>
      </c>
      <c r="Q114" s="175">
        <v>55.254554748535156</v>
      </c>
      <c r="R114" s="178">
        <v>36.075695037841797</v>
      </c>
      <c r="S114" s="178">
        <v>72.987777709960938</v>
      </c>
      <c r="T114" s="175">
        <v>23.323620000000002</v>
      </c>
      <c r="U114" s="178">
        <v>16.72871</v>
      </c>
      <c r="V114" s="178">
        <v>31.533870000000004</v>
      </c>
      <c r="W114" s="175">
        <v>11.78837</v>
      </c>
      <c r="X114" s="175">
        <v>5.7231519999999998</v>
      </c>
      <c r="Y114" s="175">
        <v>4.6369300000000002E-2</v>
      </c>
      <c r="Z114" s="175">
        <v>24.10483</v>
      </c>
      <c r="AA114" s="175">
        <v>3.4927549999999998</v>
      </c>
      <c r="AB114" s="175">
        <v>2.8717199999999998E-2</v>
      </c>
      <c r="AC114" s="176">
        <v>89.249143224255789</v>
      </c>
      <c r="AD114" s="175">
        <v>87.268394470214844</v>
      </c>
      <c r="AE114" s="178">
        <v>82.167625427246094</v>
      </c>
      <c r="AF114" s="178">
        <v>91.0687255859375</v>
      </c>
      <c r="AG114" s="176">
        <v>2.2283051918372991</v>
      </c>
      <c r="AH114" s="175">
        <v>2.414447546005249</v>
      </c>
      <c r="AI114" s="178">
        <v>1.1002923250198364</v>
      </c>
      <c r="AJ114" s="178">
        <v>5.2154169082641602</v>
      </c>
      <c r="AK114" s="176">
        <v>18.229486999999999</v>
      </c>
      <c r="AL114" s="176">
        <v>72.099356930669487</v>
      </c>
      <c r="AM114" s="175">
        <v>76.550888061523395</v>
      </c>
      <c r="AN114" s="178">
        <v>61.379238128662109</v>
      </c>
      <c r="AO114" s="178">
        <v>87.022666931152301</v>
      </c>
      <c r="AP114" s="175">
        <v>34.791398895358299</v>
      </c>
      <c r="AQ114" s="178">
        <v>28.343484088189001</v>
      </c>
      <c r="AR114" s="178">
        <v>41.849480322462</v>
      </c>
    </row>
    <row r="115" spans="1:44">
      <c r="A115" t="s">
        <v>340</v>
      </c>
      <c r="B115" t="s">
        <v>186</v>
      </c>
      <c r="C115">
        <v>2019</v>
      </c>
      <c r="D115" s="176">
        <v>99.807881858933371</v>
      </c>
      <c r="E115" s="175">
        <v>99.656845092773438</v>
      </c>
      <c r="F115" s="178">
        <v>99.084259033203125</v>
      </c>
      <c r="G115" s="178">
        <v>99.871871948242188</v>
      </c>
      <c r="H115" s="176">
        <v>93.909807855157965</v>
      </c>
      <c r="I115" s="175">
        <v>95.780807495117188</v>
      </c>
      <c r="J115" s="178">
        <v>90.768470764160156</v>
      </c>
      <c r="K115" s="178">
        <v>98.127784729003906</v>
      </c>
      <c r="L115" s="176">
        <v>85.117948993598674</v>
      </c>
      <c r="M115" s="175">
        <v>93.619956970214844</v>
      </c>
      <c r="N115" s="178">
        <v>80.7659912109375</v>
      </c>
      <c r="O115" s="178">
        <v>98.087150573730469</v>
      </c>
      <c r="P115" s="176"/>
      <c r="Q115" s="175">
        <v>78.953819274902344</v>
      </c>
      <c r="R115" s="178">
        <v>58.293491363525391</v>
      </c>
      <c r="S115" s="178">
        <v>90.965705871582031</v>
      </c>
      <c r="T115" s="175">
        <v>53.852889999999995</v>
      </c>
      <c r="U115" s="178">
        <v>20.413930000000001</v>
      </c>
      <c r="V115" s="178">
        <v>84.150449999999992</v>
      </c>
      <c r="W115" s="175">
        <v>13.22057</v>
      </c>
      <c r="X115" s="175">
        <v>2.7568419999999998</v>
      </c>
      <c r="Y115" s="175">
        <v>0.1033965</v>
      </c>
      <c r="Z115" s="175">
        <v>5.8990369999999999</v>
      </c>
      <c r="AA115" s="175">
        <v>1.882838</v>
      </c>
      <c r="AB115" s="175">
        <v>4.1327900000000001E-2</v>
      </c>
      <c r="AC115" s="176">
        <v>89.796114605907093</v>
      </c>
      <c r="AD115" s="175">
        <v>92.127029418945313</v>
      </c>
      <c r="AE115" s="178">
        <v>88.747787475585938</v>
      </c>
      <c r="AF115" s="178">
        <v>94.553703308105469</v>
      </c>
      <c r="AG115" s="176">
        <v>75.568338544934932</v>
      </c>
      <c r="AH115" s="175">
        <v>62.876327514648438</v>
      </c>
      <c r="AI115" s="178">
        <v>32.186347961425781</v>
      </c>
      <c r="AJ115" s="178">
        <v>85.803329467773438</v>
      </c>
      <c r="AK115" s="176">
        <v>33.535910999999999</v>
      </c>
      <c r="AL115" s="176">
        <v>82.792094144749925</v>
      </c>
      <c r="AM115" s="175">
        <v>79.161026000976605</v>
      </c>
      <c r="AN115" s="178">
        <v>65.018333435058594</v>
      </c>
      <c r="AO115" s="178">
        <v>88.589439392089801</v>
      </c>
      <c r="AP115" s="175">
        <v>22.773730344343601</v>
      </c>
      <c r="AQ115" s="178">
        <v>1.5163171771041402</v>
      </c>
      <c r="AR115" s="178">
        <v>84.958405009317801</v>
      </c>
    </row>
    <row r="116" spans="1:44">
      <c r="A116" t="s">
        <v>344</v>
      </c>
      <c r="B116" t="s">
        <v>190</v>
      </c>
      <c r="C116">
        <v>2019</v>
      </c>
      <c r="D116" s="176">
        <v>84.388048120429318</v>
      </c>
      <c r="E116" s="175">
        <v>84.389389038085938</v>
      </c>
      <c r="F116" s="178">
        <v>71.97906494140625</v>
      </c>
      <c r="G116" s="178">
        <v>91.920234680175781</v>
      </c>
      <c r="H116" s="176">
        <v>81.815109221485358</v>
      </c>
      <c r="I116" s="175">
        <v>80.671012878417969</v>
      </c>
      <c r="J116" s="178">
        <v>73.390174865722656</v>
      </c>
      <c r="K116" s="178">
        <v>86.33074951171875</v>
      </c>
      <c r="L116" s="176">
        <v>60.116922902648113</v>
      </c>
      <c r="M116" s="175">
        <v>61.298351287841797</v>
      </c>
      <c r="N116" s="178">
        <v>43.12103271484375</v>
      </c>
      <c r="O116" s="178">
        <v>76.792938232421875</v>
      </c>
      <c r="P116" s="176">
        <v>55.213310026522187</v>
      </c>
      <c r="Q116" s="175">
        <v>56.728572845458984</v>
      </c>
      <c r="R116" s="178">
        <v>38.383975982666016</v>
      </c>
      <c r="S116" s="178">
        <v>73.396881103515625</v>
      </c>
      <c r="T116" s="175">
        <v>33.882580000000004</v>
      </c>
      <c r="U116" s="178">
        <v>8.14635</v>
      </c>
      <c r="V116" s="178">
        <v>74.754530000000003</v>
      </c>
      <c r="W116" s="175">
        <v>81.844399999999993</v>
      </c>
      <c r="X116" s="175">
        <v>2.0551249999999999</v>
      </c>
      <c r="Y116" s="175">
        <v>0.12292450000000001</v>
      </c>
      <c r="Z116" s="175">
        <v>81.867670000000004</v>
      </c>
      <c r="AA116" s="175">
        <v>1.0103770000000001</v>
      </c>
      <c r="AB116" s="175">
        <v>0.50780550000000002</v>
      </c>
      <c r="AC116" s="176">
        <v>96.772558494954666</v>
      </c>
      <c r="AD116" s="175">
        <v>96.277107238769531</v>
      </c>
      <c r="AE116" s="178">
        <v>94.694549560546875</v>
      </c>
      <c r="AF116" s="178">
        <v>97.400566101074219</v>
      </c>
      <c r="AG116" s="176">
        <v>16.12830830331314</v>
      </c>
      <c r="AH116" s="175">
        <v>15.314106941223145</v>
      </c>
      <c r="AI116" s="178">
        <v>5.872459888458252</v>
      </c>
      <c r="AJ116" s="178">
        <v>34.389778137207031</v>
      </c>
      <c r="AK116" s="176">
        <v>9.9511357999999994</v>
      </c>
      <c r="AL116" s="176">
        <v>72.827352380460198</v>
      </c>
      <c r="AM116" s="175">
        <v>80.268623352050795</v>
      </c>
      <c r="AN116" s="178">
        <v>67.776641845703097</v>
      </c>
      <c r="AO116" s="178">
        <v>88.723571777343807</v>
      </c>
      <c r="AP116" s="175">
        <v>22.913650570230899</v>
      </c>
      <c r="AQ116" s="178">
        <v>1.6408255485938001</v>
      </c>
      <c r="AR116" s="178">
        <v>84.118071731260301</v>
      </c>
    </row>
    <row r="117" spans="1:44">
      <c r="A117" t="s">
        <v>343</v>
      </c>
      <c r="B117" t="s">
        <v>189</v>
      </c>
      <c r="C117">
        <v>2019</v>
      </c>
      <c r="D117" s="176">
        <v>100</v>
      </c>
      <c r="E117" s="175">
        <v>99.567779541015625</v>
      </c>
      <c r="F117" s="178">
        <v>99.201675415039063</v>
      </c>
      <c r="G117" s="178">
        <v>99.766387939453125</v>
      </c>
      <c r="H117" s="176">
        <v>99.983435767244245</v>
      </c>
      <c r="I117" s="175">
        <v>99.359481811523438</v>
      </c>
      <c r="J117" s="178">
        <v>99.018295288085938</v>
      </c>
      <c r="K117" s="178">
        <v>99.582588195800781</v>
      </c>
      <c r="L117" s="176">
        <v>99.983435767244245</v>
      </c>
      <c r="M117" s="175">
        <v>99.066810607910156</v>
      </c>
      <c r="N117" s="178">
        <v>98.279335021972656</v>
      </c>
      <c r="O117" s="178">
        <v>99.495742797851563</v>
      </c>
      <c r="P117" s="176"/>
      <c r="Q117" s="175">
        <v>48.809226989746094</v>
      </c>
      <c r="R117" s="178">
        <v>33.9639892578125</v>
      </c>
      <c r="S117" s="178">
        <v>63.867538452148438</v>
      </c>
      <c r="T117" s="175">
        <v>28.478769999999997</v>
      </c>
      <c r="U117" s="178">
        <v>8.3979700000000008</v>
      </c>
      <c r="V117" s="178">
        <v>63.362339999999996</v>
      </c>
      <c r="W117" s="175">
        <v>34.28266</v>
      </c>
      <c r="X117" s="175">
        <v>1.6766030000000001</v>
      </c>
      <c r="Y117" s="175">
        <v>0.1063272</v>
      </c>
      <c r="Z117" s="175">
        <v>28.297170000000001</v>
      </c>
      <c r="AA117" s="175">
        <v>0.69515289999999996</v>
      </c>
      <c r="AB117" s="175">
        <v>0.66335549999999999</v>
      </c>
      <c r="AC117" s="176">
        <v>98.420525492231206</v>
      </c>
      <c r="AD117" s="175">
        <v>97.466911315917969</v>
      </c>
      <c r="AE117" s="178">
        <v>96.625</v>
      </c>
      <c r="AF117" s="178">
        <v>98.102928161621094</v>
      </c>
      <c r="AG117" s="176">
        <v>12.979818719450581</v>
      </c>
      <c r="AH117" s="175">
        <v>10.224834442138672</v>
      </c>
      <c r="AI117" s="178">
        <v>5.0861301422119141</v>
      </c>
      <c r="AJ117" s="178">
        <v>19.489288330078125</v>
      </c>
      <c r="AK117" s="176"/>
      <c r="AL117" s="176">
        <v>84.941682588937724</v>
      </c>
      <c r="AM117" s="175">
        <v>88.0438232421875</v>
      </c>
      <c r="AN117" s="178">
        <v>80.932121276855497</v>
      </c>
      <c r="AO117" s="178">
        <v>92.740989685058594</v>
      </c>
      <c r="AP117" s="175">
        <v>30.5626166088867</v>
      </c>
      <c r="AQ117" s="178">
        <v>24.749870923923602</v>
      </c>
      <c r="AR117" s="178">
        <v>37.068057128221895</v>
      </c>
    </row>
    <row r="118" spans="1:44">
      <c r="A118" t="s">
        <v>346</v>
      </c>
      <c r="B118" t="s">
        <v>192</v>
      </c>
      <c r="C118">
        <v>2019</v>
      </c>
      <c r="D118" s="176">
        <v>85.661330594184093</v>
      </c>
      <c r="E118" s="175">
        <v>85.659332275390625</v>
      </c>
      <c r="F118" s="178">
        <v>74.95172119140625</v>
      </c>
      <c r="G118" s="178">
        <v>92.262214660644531</v>
      </c>
      <c r="H118" s="176">
        <v>83.811388490103539</v>
      </c>
      <c r="I118" s="175">
        <v>78.791511535644531</v>
      </c>
      <c r="J118" s="178">
        <v>67.783935546875</v>
      </c>
      <c r="K118" s="178">
        <v>86.771995544433594</v>
      </c>
      <c r="L118" s="176">
        <v>72.420259649588502</v>
      </c>
      <c r="M118" s="175">
        <v>67.611160278320313</v>
      </c>
      <c r="N118" s="178">
        <v>43.407970428466797</v>
      </c>
      <c r="O118" s="178">
        <v>85.032386779785156</v>
      </c>
      <c r="P118" s="176"/>
      <c r="Q118" s="175">
        <v>37.391059875488281</v>
      </c>
      <c r="R118" s="178">
        <v>23.028257369995117</v>
      </c>
      <c r="S118" s="178">
        <v>54.382808685302734</v>
      </c>
      <c r="T118" s="175">
        <v>14.408570000000001</v>
      </c>
      <c r="U118" s="178">
        <v>3.0190000000000001</v>
      </c>
      <c r="V118" s="178">
        <v>47.653370000000002</v>
      </c>
      <c r="W118" s="175">
        <v>76.417090000000002</v>
      </c>
      <c r="X118" s="175">
        <v>2.4319609999999998</v>
      </c>
      <c r="Y118" s="175">
        <v>0.1203422</v>
      </c>
      <c r="Z118" s="175">
        <v>77.314359999999994</v>
      </c>
      <c r="AA118" s="175">
        <v>2.4399600000000001</v>
      </c>
      <c r="AB118" s="175">
        <v>0.11430609999999999</v>
      </c>
      <c r="AC118" s="176">
        <v>55.691363562534868</v>
      </c>
      <c r="AD118" s="175">
        <v>59.640937805175781</v>
      </c>
      <c r="AE118" s="178">
        <v>47.194950103759766</v>
      </c>
      <c r="AF118" s="178">
        <v>70.958564758300781</v>
      </c>
      <c r="AG118" s="176">
        <v>11.369637348671191</v>
      </c>
      <c r="AH118" s="175">
        <v>7.3508105278015137</v>
      </c>
      <c r="AI118" s="178">
        <v>1.433684229850769</v>
      </c>
      <c r="AJ118" s="178">
        <v>30.205368041992188</v>
      </c>
      <c r="AK118" s="176">
        <v>25.607814000000001</v>
      </c>
      <c r="AL118" s="176">
        <v>28.330338456573809</v>
      </c>
      <c r="AM118" s="175">
        <v>49.223476409912102</v>
      </c>
      <c r="AN118" s="178">
        <v>29.892177581787099</v>
      </c>
      <c r="AO118" s="178">
        <v>68.789802551269503</v>
      </c>
      <c r="AP118" s="175">
        <v>24.290335530502301</v>
      </c>
      <c r="AQ118" s="178">
        <v>19.678441266265001</v>
      </c>
      <c r="AR118" s="178">
        <v>29.584972554129703</v>
      </c>
    </row>
    <row r="119" spans="1:44">
      <c r="A119" t="s">
        <v>342</v>
      </c>
      <c r="B119" t="s">
        <v>188</v>
      </c>
      <c r="C119">
        <v>2019</v>
      </c>
      <c r="D119" s="176">
        <v>74.464157579747891</v>
      </c>
      <c r="E119" s="175">
        <v>74.41473388671875</v>
      </c>
      <c r="F119" s="178">
        <v>60.974929809570313</v>
      </c>
      <c r="G119" s="178">
        <v>84.409469604492188</v>
      </c>
      <c r="H119" s="176">
        <v>68.371353212916446</v>
      </c>
      <c r="I119" s="175">
        <v>67.586105346679688</v>
      </c>
      <c r="J119" s="178">
        <v>58.650100708007813</v>
      </c>
      <c r="K119" s="178">
        <v>75.400932312011719</v>
      </c>
      <c r="L119" s="176">
        <v>19.394929057047641</v>
      </c>
      <c r="M119" s="175">
        <v>19.975378036499023</v>
      </c>
      <c r="N119" s="178">
        <v>11.888188362121582</v>
      </c>
      <c r="O119" s="178">
        <v>31.591554641723633</v>
      </c>
      <c r="P119" s="176">
        <v>19.394929057047641</v>
      </c>
      <c r="Q119" s="175">
        <v>19.05695915222168</v>
      </c>
      <c r="R119" s="178">
        <v>11.227686882019043</v>
      </c>
      <c r="S119" s="178">
        <v>30.471715927124023</v>
      </c>
      <c r="T119" s="175">
        <v>5.4439399999999996</v>
      </c>
      <c r="U119" s="178">
        <v>3.3312599999999999</v>
      </c>
      <c r="V119" s="178">
        <v>8.7748600000000003</v>
      </c>
      <c r="W119" s="175">
        <v>2.5519370000000001</v>
      </c>
      <c r="X119" s="175">
        <v>10.95036</v>
      </c>
      <c r="Y119" s="175">
        <v>3.1055900000000001E-2</v>
      </c>
      <c r="Z119" s="175">
        <v>0.57884480000000005</v>
      </c>
      <c r="AA119" s="175">
        <v>6.7654199999999998</v>
      </c>
      <c r="AB119" s="175">
        <v>0</v>
      </c>
      <c r="AC119" s="176">
        <v>18.469056290588501</v>
      </c>
      <c r="AD119" s="175">
        <v>19.417472839355469</v>
      </c>
      <c r="AE119" s="178">
        <v>15.002078056335449</v>
      </c>
      <c r="AF119" s="178">
        <v>24.753936767578125</v>
      </c>
      <c r="AG119" s="176">
        <v>0.2179840610952056</v>
      </c>
      <c r="AH119" s="175">
        <v>5.0382975488901138E-2</v>
      </c>
      <c r="AI119" s="178">
        <v>2.2642055526375771E-2</v>
      </c>
      <c r="AJ119" s="178">
        <v>0.11207374930381775</v>
      </c>
      <c r="AK119" s="176"/>
      <c r="AL119" s="176">
        <v>17.05231367361548</v>
      </c>
      <c r="AM119" s="175">
        <v>16.312221527099599</v>
      </c>
      <c r="AN119" s="178">
        <v>10.640631675720201</v>
      </c>
      <c r="AO119" s="178">
        <v>24.188543319702099</v>
      </c>
      <c r="AP119" s="175">
        <v>8.2806885000923103</v>
      </c>
      <c r="AQ119" s="178">
        <v>1.1182426901037399</v>
      </c>
      <c r="AR119" s="178">
        <v>41.8861856580764</v>
      </c>
    </row>
    <row r="120" spans="1:44">
      <c r="A120" t="s">
        <v>347</v>
      </c>
      <c r="B120" t="s">
        <v>193</v>
      </c>
      <c r="C120">
        <v>2019</v>
      </c>
      <c r="D120" s="176">
        <v>99.575909528597123</v>
      </c>
      <c r="E120" s="175">
        <v>99.610755920410156</v>
      </c>
      <c r="F120" s="178">
        <v>99.183845520019531</v>
      </c>
      <c r="G120" s="178">
        <v>99.814781188964844</v>
      </c>
      <c r="H120" s="176">
        <v>98.694654251359523</v>
      </c>
      <c r="I120" s="175">
        <v>98.288749694824219</v>
      </c>
      <c r="J120" s="178">
        <v>96.900222778320313</v>
      </c>
      <c r="K120" s="178">
        <v>99.061317443847656</v>
      </c>
      <c r="L120" s="176">
        <v>98.200126196111867</v>
      </c>
      <c r="M120" s="175">
        <v>97.744094848632813</v>
      </c>
      <c r="N120" s="178">
        <v>93.346832275390625</v>
      </c>
      <c r="O120" s="178">
        <v>99.2581787109375</v>
      </c>
      <c r="P120" s="176">
        <v>29.490969659838829</v>
      </c>
      <c r="Q120" s="175">
        <v>29.174491882324219</v>
      </c>
      <c r="R120" s="178">
        <v>16.360872268676758</v>
      </c>
      <c r="S120" s="178">
        <v>46.450233459472656</v>
      </c>
      <c r="T120" s="175">
        <v>15.5288</v>
      </c>
      <c r="U120" s="178">
        <v>9.013440000000001</v>
      </c>
      <c r="V120" s="178">
        <v>25.437110000000001</v>
      </c>
      <c r="W120" s="175">
        <v>18.877459999999999</v>
      </c>
      <c r="X120" s="175">
        <v>0.34684160000000003</v>
      </c>
      <c r="Y120" s="175">
        <v>0.34666740000000001</v>
      </c>
      <c r="Z120" s="175">
        <v>22.92398</v>
      </c>
      <c r="AA120" s="175">
        <v>1.1127119999999999</v>
      </c>
      <c r="AB120" s="175">
        <v>0.1059049</v>
      </c>
      <c r="AC120" s="176">
        <v>92.997570501908058</v>
      </c>
      <c r="AD120" s="175">
        <v>94.182533264160156</v>
      </c>
      <c r="AE120" s="178">
        <v>91.865928649902344</v>
      </c>
      <c r="AF120" s="178">
        <v>95.869033813476563</v>
      </c>
      <c r="AG120" s="176">
        <v>2.6138559344059029</v>
      </c>
      <c r="AH120" s="175">
        <v>0.20328304171562195</v>
      </c>
      <c r="AI120" s="178">
        <v>5.1096100360155106E-2</v>
      </c>
      <c r="AJ120" s="178">
        <v>0.8050990104675293</v>
      </c>
      <c r="AK120" s="176"/>
      <c r="AL120" s="176">
        <v>69.541115332857103</v>
      </c>
      <c r="AM120" s="175">
        <v>69.6533203125</v>
      </c>
      <c r="AN120" s="178">
        <v>47.464206695556598</v>
      </c>
      <c r="AO120" s="178">
        <v>85.361068725585895</v>
      </c>
      <c r="AP120" s="175">
        <v>15.2776025097656</v>
      </c>
      <c r="AQ120" s="178">
        <v>13.235807760175399</v>
      </c>
      <c r="AR120" s="178">
        <v>17.5705854144773</v>
      </c>
    </row>
    <row r="121" spans="1:44">
      <c r="A121" t="s">
        <v>348</v>
      </c>
      <c r="B121" t="s">
        <v>194</v>
      </c>
      <c r="C121">
        <v>2019</v>
      </c>
      <c r="D121" s="176">
        <v>98.916437129606038</v>
      </c>
      <c r="E121" s="175">
        <v>98.478439331054688</v>
      </c>
      <c r="F121" s="178">
        <v>96.766952514648438</v>
      </c>
      <c r="G121" s="178">
        <v>99.290557861328125</v>
      </c>
      <c r="H121" s="176">
        <v>97.032193132987175</v>
      </c>
      <c r="I121" s="175">
        <v>96.260047912597656</v>
      </c>
      <c r="J121" s="178">
        <v>93.325431823730469</v>
      </c>
      <c r="K121" s="178">
        <v>97.932975769042969</v>
      </c>
      <c r="L121" s="176">
        <v>89.729837228987535</v>
      </c>
      <c r="M121" s="175">
        <v>92.317611694335938</v>
      </c>
      <c r="N121" s="178">
        <v>84.675346374511719</v>
      </c>
      <c r="O121" s="178">
        <v>96.314620971679688</v>
      </c>
      <c r="P121" s="176">
        <v>79.062043247944686</v>
      </c>
      <c r="Q121" s="175">
        <v>78.50604248046875</v>
      </c>
      <c r="R121" s="178">
        <v>62.812511444091797</v>
      </c>
      <c r="S121" s="178">
        <v>88.761680603027344</v>
      </c>
      <c r="T121" s="175">
        <v>50.446069999999999</v>
      </c>
      <c r="U121" s="178">
        <v>42.5535</v>
      </c>
      <c r="V121" s="178">
        <v>58.316469999999995</v>
      </c>
      <c r="W121" s="175">
        <v>3.8132510000000002</v>
      </c>
      <c r="X121" s="175">
        <v>6.3992000000000004</v>
      </c>
      <c r="Y121" s="175">
        <v>5.0907599999999997E-2</v>
      </c>
      <c r="Z121" s="175">
        <v>2.381008</v>
      </c>
      <c r="AA121" s="175">
        <v>7.4149570000000002</v>
      </c>
      <c r="AB121" s="175">
        <v>4.9519000000000004E-3</v>
      </c>
      <c r="AC121" s="176">
        <v>96.376571433242745</v>
      </c>
      <c r="AD121" s="175">
        <v>96.186065673828125</v>
      </c>
      <c r="AE121" s="178">
        <v>94.499465942382813</v>
      </c>
      <c r="AF121" s="178">
        <v>97.369903564453125</v>
      </c>
      <c r="AG121" s="176">
        <v>59.356480755259227</v>
      </c>
      <c r="AH121" s="175">
        <v>58.808761596679688</v>
      </c>
      <c r="AI121" s="178">
        <v>40.574676513671875</v>
      </c>
      <c r="AJ121" s="178">
        <v>74.907913208007813</v>
      </c>
      <c r="AK121" s="176"/>
      <c r="AL121" s="176">
        <v>84.405898109305753</v>
      </c>
      <c r="AM121" s="175">
        <v>85.897521972656193</v>
      </c>
      <c r="AN121" s="178">
        <v>79.374946594238295</v>
      </c>
      <c r="AO121" s="178">
        <v>90.601600646972699</v>
      </c>
      <c r="AP121" s="175">
        <v>23.624736386505099</v>
      </c>
      <c r="AQ121" s="178">
        <v>1.36934532254869</v>
      </c>
      <c r="AR121" s="178">
        <v>87.328486200867189</v>
      </c>
    </row>
    <row r="122" spans="1:44">
      <c r="A122" t="s">
        <v>415</v>
      </c>
      <c r="B122" t="s">
        <v>195</v>
      </c>
      <c r="C122">
        <v>2019</v>
      </c>
      <c r="D122" s="176">
        <v>98.892752555406531</v>
      </c>
      <c r="E122" s="175">
        <v>98.779380798339844</v>
      </c>
      <c r="F122" s="178">
        <v>97.441436767578125</v>
      </c>
      <c r="G122" s="178">
        <v>99.421829223632813</v>
      </c>
      <c r="H122" s="176">
        <v>96.86896688821227</v>
      </c>
      <c r="I122" s="175">
        <v>96.278968811035156</v>
      </c>
      <c r="J122" s="178">
        <v>91.858322143554688</v>
      </c>
      <c r="K122" s="178">
        <v>98.342666625976563</v>
      </c>
      <c r="L122" s="176">
        <v>92.89368497831336</v>
      </c>
      <c r="M122" s="175">
        <v>93.201461791992188</v>
      </c>
      <c r="N122" s="178">
        <v>83.918556213378906</v>
      </c>
      <c r="O122" s="178">
        <v>97.298377990722656</v>
      </c>
      <c r="P122" s="176"/>
      <c r="Q122" s="175">
        <v>81.516105651855469</v>
      </c>
      <c r="R122" s="178">
        <v>67.484382629394531</v>
      </c>
      <c r="S122" s="178">
        <v>90.357780456542969</v>
      </c>
      <c r="T122" s="175">
        <v>68.588470000000001</v>
      </c>
      <c r="U122" s="178">
        <v>32.153759999999998</v>
      </c>
      <c r="V122" s="178">
        <v>90.958789999999993</v>
      </c>
      <c r="W122" s="175">
        <v>39.330419999999997</v>
      </c>
      <c r="X122" s="175">
        <v>2.7064270000000001</v>
      </c>
      <c r="Y122" s="175">
        <v>8.8626300000000005E-2</v>
      </c>
      <c r="Z122" s="175">
        <v>40.083269999999999</v>
      </c>
      <c r="AA122" s="175">
        <v>1.303294</v>
      </c>
      <c r="AB122" s="175">
        <v>0.1135776</v>
      </c>
      <c r="AC122" s="176">
        <v>98.692992758739507</v>
      </c>
      <c r="AD122" s="175">
        <v>97.652877807617188</v>
      </c>
      <c r="AE122" s="178">
        <v>96.570938110351563</v>
      </c>
      <c r="AF122" s="178">
        <v>98.399101257324219</v>
      </c>
      <c r="AG122" s="176">
        <v>87.843656200789269</v>
      </c>
      <c r="AH122" s="175">
        <v>82.415336608886719</v>
      </c>
      <c r="AI122" s="178">
        <v>69.381805419921875</v>
      </c>
      <c r="AJ122" s="178">
        <v>90.648551940917969</v>
      </c>
      <c r="AK122" s="176"/>
      <c r="AL122" s="176"/>
      <c r="AM122" s="175">
        <v>94.332412719726605</v>
      </c>
      <c r="AN122" s="178">
        <v>73.929100036621094</v>
      </c>
      <c r="AO122" s="178">
        <v>98.986763000488295</v>
      </c>
      <c r="AP122" s="175">
        <v>24.690296734333799</v>
      </c>
      <c r="AQ122" s="178">
        <v>1.33182108631798</v>
      </c>
      <c r="AR122" s="178">
        <v>88.843141277387105</v>
      </c>
    </row>
    <row r="123" spans="1:44">
      <c r="A123" t="s">
        <v>345</v>
      </c>
      <c r="B123" t="s">
        <v>191</v>
      </c>
      <c r="C123">
        <v>2019</v>
      </c>
      <c r="D123" s="176">
        <v>100</v>
      </c>
      <c r="E123" s="175">
        <v>99.853172302246094</v>
      </c>
      <c r="F123" s="178">
        <v>99.656837463378906</v>
      </c>
      <c r="G123" s="178">
        <v>99.937248229980469</v>
      </c>
      <c r="H123" s="176">
        <v>99.792924514059749</v>
      </c>
      <c r="I123" s="175">
        <v>99.456924438476563</v>
      </c>
      <c r="J123" s="178">
        <v>99.132087707519531</v>
      </c>
      <c r="K123" s="178">
        <v>99.660598754882813</v>
      </c>
      <c r="L123" s="176">
        <v>99.792924514059749</v>
      </c>
      <c r="M123" s="175">
        <v>98.127647399902344</v>
      </c>
      <c r="N123" s="178">
        <v>96.425819396972656</v>
      </c>
      <c r="O123" s="178">
        <v>99.027328491210938</v>
      </c>
      <c r="P123" s="176">
        <v>94.81207265394147</v>
      </c>
      <c r="Q123" s="175">
        <v>95.193832397460938</v>
      </c>
      <c r="R123" s="178">
        <v>89.426795959472656</v>
      </c>
      <c r="S123" s="178">
        <v>97.889533996582031</v>
      </c>
      <c r="T123" s="175">
        <v>70.320700000000002</v>
      </c>
      <c r="U123" s="178">
        <v>22.4284</v>
      </c>
      <c r="V123" s="178">
        <v>95.101919999999993</v>
      </c>
      <c r="W123" s="175">
        <v>63.921729999999997</v>
      </c>
      <c r="X123" s="175">
        <v>1.330077</v>
      </c>
      <c r="Y123" s="175">
        <v>0.10536470000000001</v>
      </c>
      <c r="Z123" s="175">
        <v>53.135469999999998</v>
      </c>
      <c r="AA123" s="175">
        <v>0.45292260000000001</v>
      </c>
      <c r="AB123" s="175">
        <v>7.5700600000000007E-2</v>
      </c>
      <c r="AC123" s="176">
        <v>99.002137194641435</v>
      </c>
      <c r="AD123" s="175">
        <v>98.435768127441406</v>
      </c>
      <c r="AE123" s="178">
        <v>97.869125366210938</v>
      </c>
      <c r="AF123" s="178">
        <v>98.853492736816406</v>
      </c>
      <c r="AG123" s="176">
        <v>28.095740485284491</v>
      </c>
      <c r="AH123" s="175">
        <v>27.509420394897461</v>
      </c>
      <c r="AI123" s="178">
        <v>14.493852615356445</v>
      </c>
      <c r="AJ123" s="178">
        <v>45.934181213378906</v>
      </c>
      <c r="AK123" s="176">
        <v>9.1038341999999997</v>
      </c>
      <c r="AL123" s="176">
        <v>100</v>
      </c>
      <c r="AM123" s="175">
        <v>97.510826110839801</v>
      </c>
      <c r="AN123" s="178">
        <v>95.627250671386705</v>
      </c>
      <c r="AO123" s="178">
        <v>98.594970703125</v>
      </c>
      <c r="AP123" s="175">
        <v>25.091818387682302</v>
      </c>
      <c r="AQ123" s="178">
        <v>1.2693834897876499</v>
      </c>
      <c r="AR123" s="178">
        <v>89.719333445418101</v>
      </c>
    </row>
    <row r="124" spans="1:44">
      <c r="A124" t="s">
        <v>350</v>
      </c>
      <c r="B124" t="s">
        <v>197</v>
      </c>
      <c r="C124">
        <v>2019</v>
      </c>
      <c r="D124" s="176">
        <v>82.122723602041134</v>
      </c>
      <c r="E124" s="175">
        <v>81.957595825195313</v>
      </c>
      <c r="F124" s="178">
        <v>76.147666931152344</v>
      </c>
      <c r="G124" s="178">
        <v>86.601356506347656</v>
      </c>
      <c r="H124" s="176">
        <v>54.228282894927268</v>
      </c>
      <c r="I124" s="175">
        <v>53.945507049560547</v>
      </c>
      <c r="J124" s="178">
        <v>48.513950347900391</v>
      </c>
      <c r="K124" s="178">
        <v>59.284950256347656</v>
      </c>
      <c r="L124" s="176">
        <v>15.717837539068141</v>
      </c>
      <c r="M124" s="175">
        <v>16.529911041259766</v>
      </c>
      <c r="N124" s="178">
        <v>10.721891403198242</v>
      </c>
      <c r="O124" s="178">
        <v>24.616619110107422</v>
      </c>
      <c r="P124" s="176">
        <v>15.717837539068141</v>
      </c>
      <c r="Q124" s="175">
        <v>15.506932258605957</v>
      </c>
      <c r="R124" s="178">
        <v>11.42478084564209</v>
      </c>
      <c r="S124" s="178">
        <v>20.706682205200195</v>
      </c>
      <c r="T124" s="175">
        <v>2.59212</v>
      </c>
      <c r="U124" s="178">
        <v>0.44131999999999999</v>
      </c>
      <c r="V124" s="178">
        <v>13.77455</v>
      </c>
      <c r="W124" s="175">
        <v>38.85566</v>
      </c>
      <c r="X124" s="175">
        <v>3.8227479999999998</v>
      </c>
      <c r="Y124" s="175">
        <v>1.79074E-2</v>
      </c>
      <c r="Z124" s="175">
        <v>23.558879999999998</v>
      </c>
      <c r="AA124" s="175">
        <v>3.846438</v>
      </c>
      <c r="AB124" s="175">
        <v>0</v>
      </c>
      <c r="AC124" s="176">
        <v>19.660319892827609</v>
      </c>
      <c r="AD124" s="175">
        <v>19.624753952026367</v>
      </c>
      <c r="AE124" s="178">
        <v>16.950950622558594</v>
      </c>
      <c r="AF124" s="178">
        <v>22.605518341064453</v>
      </c>
      <c r="AG124" s="176">
        <v>0.58499998388126961</v>
      </c>
      <c r="AH124" s="175">
        <v>0.20090828835964203</v>
      </c>
      <c r="AI124" s="178">
        <v>0.10625912994146347</v>
      </c>
      <c r="AJ124" s="178">
        <v>0.3795447051525116</v>
      </c>
      <c r="AK124" s="176">
        <v>78.062271999999993</v>
      </c>
      <c r="AL124" s="176">
        <v>22.48637935292939</v>
      </c>
      <c r="AM124" s="175">
        <v>20.615077972412099</v>
      </c>
      <c r="AN124" s="178">
        <v>12.4535217285156</v>
      </c>
      <c r="AO124" s="178">
        <v>32.160514831542997</v>
      </c>
      <c r="AP124" s="175">
        <v>8.5841181914741487</v>
      </c>
      <c r="AQ124" s="178">
        <v>1.22351882935987</v>
      </c>
      <c r="AR124" s="178">
        <v>41.5838052598776</v>
      </c>
    </row>
    <row r="125" spans="1:44">
      <c r="A125" t="s">
        <v>351</v>
      </c>
      <c r="B125" t="s">
        <v>198</v>
      </c>
      <c r="C125">
        <v>2019</v>
      </c>
      <c r="D125" s="176">
        <v>99.528635590990902</v>
      </c>
      <c r="E125" s="175">
        <v>99.44873046875</v>
      </c>
      <c r="F125" s="178">
        <v>98.928512573242188</v>
      </c>
      <c r="G125" s="178">
        <v>99.71710205078125</v>
      </c>
      <c r="H125" s="176">
        <v>93.866960219477193</v>
      </c>
      <c r="I125" s="175">
        <v>97.763084411621094</v>
      </c>
      <c r="J125" s="178">
        <v>94.819305419921875</v>
      </c>
      <c r="K125" s="178">
        <v>99.050888061523438</v>
      </c>
      <c r="L125" s="176">
        <v>92.077589758381251</v>
      </c>
      <c r="M125" s="175">
        <v>93.740623474121094</v>
      </c>
      <c r="N125" s="178">
        <v>82.352783203125</v>
      </c>
      <c r="O125" s="178">
        <v>97.961715698242188</v>
      </c>
      <c r="P125" s="176">
        <v>88.956865385003297</v>
      </c>
      <c r="Q125" s="175">
        <v>91.212120056152344</v>
      </c>
      <c r="R125" s="178">
        <v>84.157478332519531</v>
      </c>
      <c r="S125" s="178">
        <v>95.300758361816406</v>
      </c>
      <c r="T125" s="175">
        <v>55.456539999999997</v>
      </c>
      <c r="U125" s="178">
        <v>7.5391299999999992</v>
      </c>
      <c r="V125" s="178">
        <v>95.002409999999998</v>
      </c>
      <c r="W125" s="175">
        <v>43.687040000000003</v>
      </c>
      <c r="X125" s="175">
        <v>4.9621560000000002</v>
      </c>
      <c r="Y125" s="175">
        <v>0</v>
      </c>
      <c r="Z125" s="175">
        <v>50.70675</v>
      </c>
      <c r="AA125" s="175">
        <v>2.2867760000000001</v>
      </c>
      <c r="AB125" s="175">
        <v>8.5289599999999993E-2</v>
      </c>
      <c r="AC125" s="176">
        <v>97.74159540707403</v>
      </c>
      <c r="AD125" s="175">
        <v>97.69970703125</v>
      </c>
      <c r="AE125" s="178">
        <v>95.877853393554688</v>
      </c>
      <c r="AF125" s="178">
        <v>98.72705078125</v>
      </c>
      <c r="AG125" s="176">
        <v>51.240802429807687</v>
      </c>
      <c r="AH125" s="175">
        <v>50.788711547851563</v>
      </c>
      <c r="AI125" s="178">
        <v>25.687902450561523</v>
      </c>
      <c r="AJ125" s="178">
        <v>75.498085021972656</v>
      </c>
      <c r="AK125" s="176"/>
      <c r="AL125" s="176"/>
      <c r="AM125" s="175">
        <v>96.882102966308594</v>
      </c>
      <c r="AN125" s="178">
        <v>82.868003845214801</v>
      </c>
      <c r="AO125" s="178">
        <v>99.501525878906193</v>
      </c>
      <c r="AP125" s="175">
        <v>25.012393238896902</v>
      </c>
      <c r="AQ125" s="178">
        <v>1.28142975043172</v>
      </c>
      <c r="AR125" s="178">
        <v>89.551858626448393</v>
      </c>
    </row>
    <row r="126" spans="1:44">
      <c r="A126" t="s">
        <v>349</v>
      </c>
      <c r="B126" t="s">
        <v>196</v>
      </c>
      <c r="C126">
        <v>2019</v>
      </c>
      <c r="D126" s="176">
        <v>71.747329768023732</v>
      </c>
      <c r="E126" s="175">
        <v>71.474678039550781</v>
      </c>
      <c r="F126" s="178">
        <v>59.486804962158203</v>
      </c>
      <c r="G126" s="178">
        <v>81.045585632324219</v>
      </c>
      <c r="H126" s="176">
        <v>60.401668472401163</v>
      </c>
      <c r="I126" s="175">
        <v>58.368183135986328</v>
      </c>
      <c r="J126" s="178">
        <v>49.017070770263672</v>
      </c>
      <c r="K126" s="178">
        <v>67.153480529785156</v>
      </c>
      <c r="L126" s="176">
        <v>35.765586070880531</v>
      </c>
      <c r="M126" s="175">
        <v>29.639732360839844</v>
      </c>
      <c r="N126" s="178">
        <v>18.182857513427734</v>
      </c>
      <c r="O126" s="178">
        <v>44.398162841796875</v>
      </c>
      <c r="P126" s="176"/>
      <c r="Q126" s="175">
        <v>21.608652114868164</v>
      </c>
      <c r="R126" s="178">
        <v>13.906903266906738</v>
      </c>
      <c r="S126" s="178">
        <v>31.990776062011719</v>
      </c>
      <c r="T126" s="175">
        <v>4.6763899999999996</v>
      </c>
      <c r="U126" s="178">
        <v>0.95872000000000002</v>
      </c>
      <c r="V126" s="178">
        <v>19.911850000000001</v>
      </c>
      <c r="W126" s="175">
        <v>24.31861</v>
      </c>
      <c r="X126" s="175">
        <v>5.8960090000000003</v>
      </c>
      <c r="Y126" s="175">
        <v>2.5360500000000001E-2</v>
      </c>
      <c r="Z126" s="175">
        <v>36.183210000000003</v>
      </c>
      <c r="AA126" s="175">
        <v>5.1434049999999996</v>
      </c>
      <c r="AB126" s="175">
        <v>6.1597100000000002E-2</v>
      </c>
      <c r="AC126" s="176">
        <v>31.58598152578222</v>
      </c>
      <c r="AD126" s="175">
        <v>36.429653167724609</v>
      </c>
      <c r="AE126" s="178">
        <v>29.893598556518555</v>
      </c>
      <c r="AF126" s="178">
        <v>43.507904052734375</v>
      </c>
      <c r="AG126" s="176">
        <v>0.49622707097705232</v>
      </c>
      <c r="AH126" s="175">
        <v>0.57350844144821167</v>
      </c>
      <c r="AI126" s="178">
        <v>0.2485211193561554</v>
      </c>
      <c r="AJ126" s="178">
        <v>1.3178620338439941</v>
      </c>
      <c r="AK126" s="176">
        <v>79.617991000000004</v>
      </c>
      <c r="AL126" s="176">
        <v>48.279649021676178</v>
      </c>
      <c r="AM126" s="175">
        <v>48.145587921142599</v>
      </c>
      <c r="AN126" s="178">
        <v>29.436050415039102</v>
      </c>
      <c r="AO126" s="178">
        <v>67.3900146484375</v>
      </c>
      <c r="AP126" s="175">
        <v>10.525520198140701</v>
      </c>
      <c r="AQ126" s="178">
        <v>1.26314496617172</v>
      </c>
      <c r="AR126" s="178">
        <v>51.962800482569406</v>
      </c>
    </row>
    <row r="127" spans="1:44">
      <c r="A127" t="s">
        <v>352</v>
      </c>
      <c r="B127" t="s">
        <v>199</v>
      </c>
      <c r="C127">
        <v>2019</v>
      </c>
      <c r="D127" s="176">
        <v>97.829377152753551</v>
      </c>
      <c r="E127" s="175">
        <v>98.269523620605469</v>
      </c>
      <c r="F127" s="178">
        <v>96.348953247070313</v>
      </c>
      <c r="G127" s="178">
        <v>99.188323974609375</v>
      </c>
      <c r="H127" s="176">
        <v>97.829377152753551</v>
      </c>
      <c r="I127" s="175">
        <v>98.2066650390625</v>
      </c>
      <c r="J127" s="178">
        <v>95.165771484375</v>
      </c>
      <c r="K127" s="178">
        <v>99.34783935546875</v>
      </c>
      <c r="L127" s="176">
        <v>58.83942147660408</v>
      </c>
      <c r="M127" s="175">
        <v>76.148574829101563</v>
      </c>
      <c r="N127" s="178">
        <v>38.703529357910156</v>
      </c>
      <c r="O127" s="178">
        <v>94.166656494140625</v>
      </c>
      <c r="P127" s="176">
        <v>58.83942147660408</v>
      </c>
      <c r="Q127" s="175">
        <v>58.294612884521484</v>
      </c>
      <c r="R127" s="178">
        <v>39.377407073974609</v>
      </c>
      <c r="S127" s="178">
        <v>75.049125671386719</v>
      </c>
      <c r="T127" s="175">
        <v>39.343869999999995</v>
      </c>
      <c r="U127" s="178">
        <v>12.788779999999999</v>
      </c>
      <c r="V127" s="178">
        <v>74.154290000000003</v>
      </c>
      <c r="W127" s="175">
        <v>52.592500000000001</v>
      </c>
      <c r="X127" s="175">
        <v>3.293552</v>
      </c>
      <c r="Y127" s="175">
        <v>0.1065111</v>
      </c>
      <c r="Z127" s="175">
        <v>89.447040000000001</v>
      </c>
      <c r="AA127" s="175">
        <v>1.4440249999999999</v>
      </c>
      <c r="AB127" s="175">
        <v>5.5949199999999998E-2</v>
      </c>
      <c r="AC127" s="176">
        <v>100</v>
      </c>
      <c r="AD127" s="175">
        <v>97.480865478515625</v>
      </c>
      <c r="AE127" s="178">
        <v>88.283798217773438</v>
      </c>
      <c r="AF127" s="178">
        <v>99.499298095703125</v>
      </c>
      <c r="AG127" s="176">
        <v>25.982625277145921</v>
      </c>
      <c r="AH127" s="175">
        <v>27.893764495849609</v>
      </c>
      <c r="AI127" s="178">
        <v>2.3147258758544922</v>
      </c>
      <c r="AJ127" s="178">
        <v>86.330131530761719</v>
      </c>
      <c r="AK127" s="176">
        <v>26.238278000000001</v>
      </c>
      <c r="AL127" s="176"/>
      <c r="AM127" s="175">
        <v>83.488609313964801</v>
      </c>
      <c r="AN127" s="178">
        <v>49.625247955322301</v>
      </c>
      <c r="AO127" s="178">
        <v>96.2899169921875</v>
      </c>
      <c r="AP127" s="175">
        <v>23.320423990831802</v>
      </c>
      <c r="AQ127" s="178">
        <v>1.5609484206541699</v>
      </c>
      <c r="AR127" s="178">
        <v>85.365150414275206</v>
      </c>
    </row>
    <row r="128" spans="1:44">
      <c r="A128" t="s">
        <v>355</v>
      </c>
      <c r="B128" t="s">
        <v>203</v>
      </c>
      <c r="C128">
        <v>2019</v>
      </c>
      <c r="D128" s="176">
        <v>92.280022468528742</v>
      </c>
      <c r="E128" s="175">
        <v>92.732940673828125</v>
      </c>
      <c r="F128" s="178">
        <v>82.8323974609375</v>
      </c>
      <c r="G128" s="178">
        <v>97.122215270996094</v>
      </c>
      <c r="H128" s="176">
        <v>91.216648150303953</v>
      </c>
      <c r="I128" s="175">
        <v>91.360923767089844</v>
      </c>
      <c r="J128" s="178">
        <v>78.480567932128906</v>
      </c>
      <c r="K128" s="178">
        <v>96.842025756835938</v>
      </c>
      <c r="L128" s="176">
        <v>50.344984735752703</v>
      </c>
      <c r="M128" s="175">
        <v>67.822708129882813</v>
      </c>
      <c r="N128" s="178">
        <v>24.931865692138672</v>
      </c>
      <c r="O128" s="178">
        <v>93.044349670410156</v>
      </c>
      <c r="P128" s="176"/>
      <c r="Q128" s="175">
        <v>46.667205810546875</v>
      </c>
      <c r="R128" s="178">
        <v>24.86012077331543</v>
      </c>
      <c r="S128" s="178">
        <v>69.826866149902344</v>
      </c>
      <c r="T128" s="175">
        <v>22.454170000000001</v>
      </c>
      <c r="U128" s="178">
        <v>4.6890499999999999</v>
      </c>
      <c r="V128" s="178">
        <v>63.021239999999999</v>
      </c>
      <c r="W128" s="175">
        <v>48.020850000000003</v>
      </c>
      <c r="X128" s="175">
        <v>1.557218</v>
      </c>
      <c r="Y128" s="175">
        <v>0.35259479999999999</v>
      </c>
      <c r="Z128" s="175">
        <v>6.1411809999999996</v>
      </c>
      <c r="AA128" s="175">
        <v>0.82114259999999994</v>
      </c>
      <c r="AB128" s="175">
        <v>0.1175944</v>
      </c>
      <c r="AC128" s="176">
        <v>52.686102407540147</v>
      </c>
      <c r="AD128" s="175">
        <v>61.144889831542969</v>
      </c>
      <c r="AE128" s="178">
        <v>41.403221130371094</v>
      </c>
      <c r="AF128" s="178">
        <v>77.801475524902344</v>
      </c>
      <c r="AG128" s="176">
        <v>3.2982460217657641</v>
      </c>
      <c r="AH128" s="175">
        <v>8.0287818908691406</v>
      </c>
      <c r="AI128" s="178">
        <v>0.21420809626579285</v>
      </c>
      <c r="AJ128" s="178">
        <v>78.02197265625</v>
      </c>
      <c r="AK128" s="176"/>
      <c r="AL128" s="176"/>
      <c r="AM128" s="175">
        <v>38.2099418640137</v>
      </c>
      <c r="AN128" s="178">
        <v>19.996990203857401</v>
      </c>
      <c r="AO128" s="178">
        <v>60.472427368164091</v>
      </c>
      <c r="AP128" s="175">
        <v>12.4645395228989</v>
      </c>
      <c r="AQ128" s="178">
        <v>10.2940764980863</v>
      </c>
      <c r="AR128" s="178">
        <v>15.016031609648101</v>
      </c>
    </row>
    <row r="129" spans="1:44">
      <c r="A129" t="s">
        <v>416</v>
      </c>
      <c r="B129" t="s">
        <v>201</v>
      </c>
      <c r="C129">
        <v>2019</v>
      </c>
      <c r="D129" s="176">
        <v>94.334568411359442</v>
      </c>
      <c r="E129" s="175">
        <v>98.617835998535156</v>
      </c>
      <c r="F129" s="178">
        <v>73.297561645507813</v>
      </c>
      <c r="G129" s="178">
        <v>99.94610595703125</v>
      </c>
      <c r="H129" s="176">
        <v>93.862895569302637</v>
      </c>
      <c r="I129" s="175">
        <v>97.560020446777344</v>
      </c>
      <c r="J129" s="178">
        <v>75.255340576171875</v>
      </c>
      <c r="K129" s="178">
        <v>99.810127258300781</v>
      </c>
      <c r="L129" s="176">
        <v>85.677249411009541</v>
      </c>
      <c r="M129" s="175">
        <v>96.014030456542969</v>
      </c>
      <c r="N129" s="178">
        <v>39.919544219970703</v>
      </c>
      <c r="O129" s="178">
        <v>99.8856201171875</v>
      </c>
      <c r="P129" s="176"/>
      <c r="Q129" s="175">
        <v>75.585311889648438</v>
      </c>
      <c r="R129" s="178">
        <v>10.64283561706543</v>
      </c>
      <c r="S129" s="178">
        <v>98.7725830078125</v>
      </c>
      <c r="T129" s="175">
        <v>65.932379999999995</v>
      </c>
      <c r="U129" s="178">
        <v>26.032430000000002</v>
      </c>
      <c r="V129" s="178">
        <v>91.410719999999998</v>
      </c>
      <c r="W129" s="175">
        <v>19.363119999999999</v>
      </c>
      <c r="X129" s="175">
        <v>16.813079999999999</v>
      </c>
      <c r="Y129" s="175">
        <v>5.4882800000000002E-2</v>
      </c>
      <c r="Z129" s="175">
        <v>21.384519999999998</v>
      </c>
      <c r="AA129" s="175">
        <v>13.26121</v>
      </c>
      <c r="AB129" s="175">
        <v>0.14452570000000001</v>
      </c>
      <c r="AC129" s="176">
        <v>95.57790919573273</v>
      </c>
      <c r="AD129" s="175">
        <v>88.87579345703125</v>
      </c>
      <c r="AE129" s="178">
        <v>59.018081665039063</v>
      </c>
      <c r="AF129" s="178">
        <v>97.793647766113281</v>
      </c>
      <c r="AG129" s="176">
        <v>88.406092800082661</v>
      </c>
      <c r="AH129" s="175">
        <v>35.071193695068359</v>
      </c>
      <c r="AI129" s="178">
        <v>2.7709658145904541</v>
      </c>
      <c r="AJ129" s="178">
        <v>91.101173400878906</v>
      </c>
      <c r="AK129" s="176">
        <v>71.977338000000003</v>
      </c>
      <c r="AL129" s="176"/>
      <c r="AM129" s="175">
        <v>84.712387084960895</v>
      </c>
      <c r="AN129" s="178">
        <v>43.981582641601598</v>
      </c>
      <c r="AO129" s="178">
        <v>97.506782531738295</v>
      </c>
      <c r="AP129" s="175">
        <v>36.389630970822104</v>
      </c>
      <c r="AQ129" s="178">
        <v>28.485142452290603</v>
      </c>
      <c r="AR129" s="178">
        <v>45.104170867855501</v>
      </c>
    </row>
    <row r="130" spans="1:44">
      <c r="A130" t="s">
        <v>354</v>
      </c>
      <c r="B130" t="s">
        <v>202</v>
      </c>
      <c r="C130">
        <v>2019</v>
      </c>
      <c r="D130" s="176">
        <v>96.205091548803054</v>
      </c>
      <c r="E130" s="175">
        <v>94.772193908691406</v>
      </c>
      <c r="F130" s="178">
        <v>91.211334228515625</v>
      </c>
      <c r="G130" s="178">
        <v>96.938735961914063</v>
      </c>
      <c r="H130" s="176">
        <v>96.205091548803054</v>
      </c>
      <c r="I130" s="175">
        <v>94.772193908691406</v>
      </c>
      <c r="J130" s="178">
        <v>91.843475341796875</v>
      </c>
      <c r="K130" s="178">
        <v>97.26873779296875</v>
      </c>
      <c r="L130" s="176">
        <v>96.205091548803054</v>
      </c>
      <c r="M130" s="175">
        <v>94.707382202148438</v>
      </c>
      <c r="N130" s="178">
        <v>87.103385925292969</v>
      </c>
      <c r="O130" s="178">
        <v>97.934295654296875</v>
      </c>
      <c r="P130" s="176"/>
      <c r="Q130" s="175">
        <v>42.556835174560547</v>
      </c>
      <c r="R130" s="178">
        <v>29.781520843505859</v>
      </c>
      <c r="S130" s="178">
        <v>56.409847259521484</v>
      </c>
      <c r="T130" s="175">
        <v>19.4833</v>
      </c>
      <c r="U130" s="178">
        <v>4.6522399999999999</v>
      </c>
      <c r="V130" s="178">
        <v>54.546620000000004</v>
      </c>
      <c r="W130" s="175">
        <v>83.513239999999996</v>
      </c>
      <c r="X130" s="175">
        <v>15.5974</v>
      </c>
      <c r="Y130" s="175">
        <v>0.1163098</v>
      </c>
      <c r="Z130" s="175">
        <v>87.479770000000002</v>
      </c>
      <c r="AA130" s="175">
        <v>1.8724499999999999</v>
      </c>
      <c r="AB130" s="175">
        <v>0.1209857</v>
      </c>
      <c r="AC130" s="176">
        <v>87.70813691494476</v>
      </c>
      <c r="AD130" s="175">
        <v>82.914413452148438</v>
      </c>
      <c r="AE130" s="178">
        <v>73.278968811035156</v>
      </c>
      <c r="AF130" s="178">
        <v>89.569915771484375</v>
      </c>
      <c r="AG130" s="176">
        <v>1.245120262314761</v>
      </c>
      <c r="AH130" s="175">
        <v>1.0729535818099976</v>
      </c>
      <c r="AI130" s="178">
        <v>0.29434004426002502</v>
      </c>
      <c r="AJ130" s="178">
        <v>3.8320639133453369</v>
      </c>
      <c r="AK130" s="176"/>
      <c r="AL130" s="176">
        <v>85.992759364636981</v>
      </c>
      <c r="AM130" s="175">
        <v>90.244239807128906</v>
      </c>
      <c r="AN130" s="178">
        <v>83.395278930664105</v>
      </c>
      <c r="AO130" s="178">
        <v>94.456008911132798</v>
      </c>
      <c r="AP130" s="175">
        <v>17.119756767800901</v>
      </c>
      <c r="AQ130" s="178">
        <v>15.654417591651502</v>
      </c>
      <c r="AR130" s="178">
        <v>18.691862787011999</v>
      </c>
    </row>
    <row r="131" spans="1:44">
      <c r="A131" t="s">
        <v>357</v>
      </c>
      <c r="B131" t="s">
        <v>205</v>
      </c>
      <c r="C131">
        <v>2019</v>
      </c>
      <c r="D131" s="176">
        <v>88.10709760825614</v>
      </c>
      <c r="E131" s="175">
        <v>87.704498291015625</v>
      </c>
      <c r="F131" s="178">
        <v>76.764732360839844</v>
      </c>
      <c r="G131" s="178">
        <v>93.902656555175781</v>
      </c>
      <c r="H131" s="176">
        <v>59.716579023346718</v>
      </c>
      <c r="I131" s="175">
        <v>59.1531982421875</v>
      </c>
      <c r="J131" s="178">
        <v>46.018398284912109</v>
      </c>
      <c r="K131" s="178">
        <v>71.099189758300781</v>
      </c>
      <c r="L131" s="176">
        <v>47.969336889721063</v>
      </c>
      <c r="M131" s="175">
        <v>59.1531982421875</v>
      </c>
      <c r="N131" s="178">
        <v>28.181612014770508</v>
      </c>
      <c r="O131" s="178">
        <v>92.230331420898438</v>
      </c>
      <c r="P131" s="176"/>
      <c r="Q131" s="175">
        <v>47.781356811523438</v>
      </c>
      <c r="R131" s="178">
        <v>29.765913009643555</v>
      </c>
      <c r="S131" s="178">
        <v>66.393104553222656</v>
      </c>
      <c r="T131" s="175">
        <v>21.619810000000001</v>
      </c>
      <c r="U131" s="178">
        <v>5.2288800000000002</v>
      </c>
      <c r="V131" s="178">
        <v>57.965219999999995</v>
      </c>
      <c r="W131" s="175">
        <v>15.092370000000001</v>
      </c>
      <c r="X131" s="175">
        <v>2.0215689999999999</v>
      </c>
      <c r="Y131" s="175">
        <v>0.115852</v>
      </c>
      <c r="Z131" s="175">
        <v>8.9543529999999993</v>
      </c>
      <c r="AA131" s="175">
        <v>0.75852299999999995</v>
      </c>
      <c r="AB131" s="175">
        <v>5.39122E-2</v>
      </c>
      <c r="AC131" s="176">
        <v>53.626938168194457</v>
      </c>
      <c r="AD131" s="175">
        <v>66.85003662109375</v>
      </c>
      <c r="AE131" s="178">
        <v>52.255584716796875</v>
      </c>
      <c r="AF131" s="178">
        <v>78.793724060058594</v>
      </c>
      <c r="AG131" s="176">
        <v>30.053796689138181</v>
      </c>
      <c r="AH131" s="175">
        <v>27.049169540405273</v>
      </c>
      <c r="AI131" s="178">
        <v>9.0758914947509766</v>
      </c>
      <c r="AJ131" s="178">
        <v>57.935951232910156</v>
      </c>
      <c r="AK131" s="176"/>
      <c r="AL131" s="176"/>
      <c r="AM131" s="175">
        <v>60.946765899658203</v>
      </c>
      <c r="AN131" s="178">
        <v>41.186428070068402</v>
      </c>
      <c r="AO131" s="178">
        <v>77.6678466796875</v>
      </c>
      <c r="AP131" s="175">
        <v>20.472764758542301</v>
      </c>
      <c r="AQ131" s="178">
        <v>1.9322232285379899</v>
      </c>
      <c r="AR131" s="178">
        <v>77.082569268698691</v>
      </c>
    </row>
    <row r="132" spans="1:44">
      <c r="A132" t="s">
        <v>359</v>
      </c>
      <c r="B132" t="s">
        <v>207</v>
      </c>
      <c r="C132">
        <v>2019</v>
      </c>
      <c r="D132" s="176">
        <v>70.668770233732744</v>
      </c>
      <c r="E132" s="175">
        <v>71.762214660644531</v>
      </c>
      <c r="F132" s="178">
        <v>58.390598297119141</v>
      </c>
      <c r="G132" s="178">
        <v>82.150321960449219</v>
      </c>
      <c r="H132" s="176">
        <v>64.61192382055421</v>
      </c>
      <c r="I132" s="175">
        <v>66.169471740722656</v>
      </c>
      <c r="J132" s="178">
        <v>56.482528686523438</v>
      </c>
      <c r="K132" s="178">
        <v>74.667221069335938</v>
      </c>
      <c r="L132" s="176">
        <v>29.468435172041492</v>
      </c>
      <c r="M132" s="175">
        <v>30.559734344482422</v>
      </c>
      <c r="N132" s="178">
        <v>18.959123611450195</v>
      </c>
      <c r="O132" s="178">
        <v>45.291515350341797</v>
      </c>
      <c r="P132" s="176"/>
      <c r="Q132" s="175">
        <v>27.563667297363281</v>
      </c>
      <c r="R132" s="178">
        <v>17.363548278808594</v>
      </c>
      <c r="S132" s="178">
        <v>40.797538757324219</v>
      </c>
      <c r="T132" s="175">
        <v>7.9157799999999998</v>
      </c>
      <c r="U132" s="178">
        <v>1.8731600000000002</v>
      </c>
      <c r="V132" s="178">
        <v>27.907510000000002</v>
      </c>
      <c r="W132" s="175">
        <v>11.46101</v>
      </c>
      <c r="X132" s="175">
        <v>24.403649999999999</v>
      </c>
      <c r="Y132" s="175">
        <v>3.23967E-2</v>
      </c>
      <c r="Z132" s="175">
        <v>15.65244</v>
      </c>
      <c r="AA132" s="175">
        <v>22.952870000000001</v>
      </c>
      <c r="AB132" s="175">
        <v>0</v>
      </c>
      <c r="AC132" s="176">
        <v>31.481225107119489</v>
      </c>
      <c r="AD132" s="175">
        <v>32.760410308837891</v>
      </c>
      <c r="AE132" s="178">
        <v>26.584178924560547</v>
      </c>
      <c r="AF132" s="178">
        <v>39.597618103027344</v>
      </c>
      <c r="AG132" s="176">
        <v>8.4234774543628088</v>
      </c>
      <c r="AH132" s="175">
        <v>5.111809253692627</v>
      </c>
      <c r="AI132" s="178">
        <v>2.3744604587554932</v>
      </c>
      <c r="AJ132" s="178">
        <v>10.660266876220703</v>
      </c>
      <c r="AK132" s="176">
        <v>47.698788</v>
      </c>
      <c r="AL132" s="176">
        <v>17.825336355999369</v>
      </c>
      <c r="AM132" s="175">
        <v>22.3060626983643</v>
      </c>
      <c r="AN132" s="178">
        <v>13.872525215148897</v>
      </c>
      <c r="AO132" s="178">
        <v>33.851493835449197</v>
      </c>
      <c r="AP132" s="175">
        <v>8.7033633905757899</v>
      </c>
      <c r="AQ132" s="178">
        <v>1.2571687469171</v>
      </c>
      <c r="AR132" s="178">
        <v>41.650141662813098</v>
      </c>
    </row>
    <row r="133" spans="1:44">
      <c r="A133" t="s">
        <v>360</v>
      </c>
      <c r="B133" t="s">
        <v>208</v>
      </c>
      <c r="C133">
        <v>2019</v>
      </c>
      <c r="D133" s="176">
        <v>76.955052335399628</v>
      </c>
      <c r="E133" s="175">
        <v>78.2276611328125</v>
      </c>
      <c r="F133" s="178">
        <v>68.044044494628906</v>
      </c>
      <c r="G133" s="178">
        <v>85.841285705566406</v>
      </c>
      <c r="H133" s="176">
        <v>63.094956877829361</v>
      </c>
      <c r="I133" s="175">
        <v>66.345108032226563</v>
      </c>
      <c r="J133" s="178">
        <v>58.441978454589844</v>
      </c>
      <c r="K133" s="178">
        <v>73.428627014160156</v>
      </c>
      <c r="L133" s="176">
        <v>31.167827734934122</v>
      </c>
      <c r="M133" s="175">
        <v>34.468563079833984</v>
      </c>
      <c r="N133" s="178">
        <v>23.483007431030273</v>
      </c>
      <c r="O133" s="178">
        <v>47.409103393554688</v>
      </c>
      <c r="P133" s="176">
        <v>29.673568937001569</v>
      </c>
      <c r="Q133" s="175">
        <v>29.869361877441406</v>
      </c>
      <c r="R133" s="178">
        <v>20.153743743896484</v>
      </c>
      <c r="S133" s="178">
        <v>41.815792083740234</v>
      </c>
      <c r="T133" s="175">
        <v>6.4055799999999996</v>
      </c>
      <c r="U133" s="178">
        <v>4.4050099999999999</v>
      </c>
      <c r="V133" s="178">
        <v>9.2270400000000006</v>
      </c>
      <c r="W133" s="175">
        <v>6.7454150000000004</v>
      </c>
      <c r="X133" s="175">
        <v>9.6788430000000005</v>
      </c>
      <c r="Y133" s="175">
        <v>2.36771E-2</v>
      </c>
      <c r="Z133" s="175">
        <v>3.5609899999999999</v>
      </c>
      <c r="AA133" s="175">
        <v>6.4379479999999996</v>
      </c>
      <c r="AB133" s="175">
        <v>0</v>
      </c>
      <c r="AC133" s="176">
        <v>35.774337360130048</v>
      </c>
      <c r="AD133" s="175">
        <v>39.56524658203125</v>
      </c>
      <c r="AE133" s="178">
        <v>33.038681030273438</v>
      </c>
      <c r="AF133" s="178">
        <v>46.486045837402344</v>
      </c>
      <c r="AG133" s="176">
        <v>26.117705419877051</v>
      </c>
      <c r="AH133" s="175">
        <v>12.63831901550293</v>
      </c>
      <c r="AI133" s="178">
        <v>5.907135009765625</v>
      </c>
      <c r="AJ133" s="178">
        <v>25.001626968383789</v>
      </c>
      <c r="AK133" s="176">
        <v>18.568462</v>
      </c>
      <c r="AL133" s="176">
        <v>42.419840057720251</v>
      </c>
      <c r="AM133" s="175">
        <v>44.040000915527301</v>
      </c>
      <c r="AN133" s="178">
        <v>29.679882049560501</v>
      </c>
      <c r="AO133" s="178">
        <v>59.471961975097699</v>
      </c>
      <c r="AP133" s="175">
        <v>10.236001592561299</v>
      </c>
      <c r="AQ133" s="178">
        <v>1.3081842712640199</v>
      </c>
      <c r="AR133" s="178">
        <v>49.520416562070203</v>
      </c>
    </row>
  </sheetData>
  <sheetProtection algorithmName="SHA-512" hashValue="WWrfhxIH4pnJ+AKqhaqxHy7NNj4I/E3z1WG4vR6tdqNZfLHLS4aK6SZ/DIt/+w57ZFNzG5vKzqBMXa6hhPg1Vw==" saltValue="D9mEqFoR++NBuWxYwSMQpQ==" spinCount="100000" sheet="1" objects="1" scenarios="1"/>
  <autoFilter ref="A1:AR133" xr:uid="{4935FB51-3EB1-45E7-93BA-2D5A3CD8962C}">
    <sortState xmlns:xlrd2="http://schemas.microsoft.com/office/spreadsheetml/2017/richdata2" ref="A2:AR133">
      <sortCondition ref="A1:A133"/>
    </sortState>
  </autoFilter>
  <sortState xmlns:xlrd2="http://schemas.microsoft.com/office/spreadsheetml/2017/richdata2" ref="A2:AR133">
    <sortCondition ref="A1:A133"/>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0347-F76E-4128-89B1-5055788F7256}">
  <sheetPr>
    <tabColor theme="9" tint="0.79998168889431442"/>
  </sheetPr>
  <dimension ref="A1:AH133"/>
  <sheetViews>
    <sheetView zoomScale="90" zoomScaleNormal="90" workbookViewId="0">
      <selection activeCell="A14" sqref="A14"/>
    </sheetView>
  </sheetViews>
  <sheetFormatPr defaultColWidth="8.85546875" defaultRowHeight="15"/>
  <cols>
    <col min="1" max="1" width="36" style="146" customWidth="1"/>
    <col min="2" max="2" width="7.28515625" style="146" customWidth="1"/>
    <col min="3" max="3" width="14.85546875" style="146" customWidth="1"/>
    <col min="4" max="8" width="15.85546875" style="146" customWidth="1"/>
    <col min="9" max="9" width="17.42578125" style="146" customWidth="1"/>
    <col min="10" max="11" width="15.85546875" style="146" customWidth="1"/>
    <col min="12" max="12" width="17.140625" style="146" customWidth="1"/>
    <col min="13" max="20" width="15.85546875" style="146" customWidth="1"/>
    <col min="21" max="21" width="17.85546875" style="146" customWidth="1"/>
    <col min="22" max="23" width="15.85546875" style="146" customWidth="1"/>
    <col min="24" max="24" width="17.28515625" style="146" customWidth="1"/>
    <col min="25" max="26" width="15.85546875" style="146" customWidth="1"/>
    <col min="27" max="27" width="10.85546875" customWidth="1"/>
    <col min="28" max="29" width="9.140625"/>
    <col min="30" max="30" width="12.42578125" customWidth="1"/>
    <col min="31" max="34" width="9.140625"/>
    <col min="35" max="254" width="13.42578125" style="146" customWidth="1"/>
    <col min="255" max="255" width="7.28515625" style="146" customWidth="1"/>
    <col min="256" max="256" width="18.42578125" style="146" customWidth="1"/>
    <col min="257" max="280" width="15.85546875" style="146" customWidth="1"/>
    <col min="281" max="510" width="13.42578125" style="146" customWidth="1"/>
    <col min="511" max="511" width="7.28515625" style="146" customWidth="1"/>
    <col min="512" max="512" width="18.42578125" style="146" customWidth="1"/>
    <col min="513" max="536" width="15.85546875" style="146" customWidth="1"/>
    <col min="537" max="766" width="13.42578125" style="146" customWidth="1"/>
    <col min="767" max="767" width="7.28515625" style="146" customWidth="1"/>
    <col min="768" max="768" width="18.42578125" style="146" customWidth="1"/>
    <col min="769" max="792" width="15.85546875" style="146" customWidth="1"/>
    <col min="793" max="1022" width="13.42578125" style="146" customWidth="1"/>
    <col min="1023" max="1023" width="7.28515625" style="146" customWidth="1"/>
    <col min="1024" max="1024" width="18.42578125" style="146" customWidth="1"/>
    <col min="1025" max="1048" width="15.85546875" style="146" customWidth="1"/>
    <col min="1049" max="1278" width="13.42578125" style="146" customWidth="1"/>
    <col min="1279" max="1279" width="7.28515625" style="146" customWidth="1"/>
    <col min="1280" max="1280" width="18.42578125" style="146" customWidth="1"/>
    <col min="1281" max="1304" width="15.85546875" style="146" customWidth="1"/>
    <col min="1305" max="1534" width="13.42578125" style="146" customWidth="1"/>
    <col min="1535" max="1535" width="7.28515625" style="146" customWidth="1"/>
    <col min="1536" max="1536" width="18.42578125" style="146" customWidth="1"/>
    <col min="1537" max="1560" width="15.85546875" style="146" customWidth="1"/>
    <col min="1561" max="1790" width="13.42578125" style="146" customWidth="1"/>
    <col min="1791" max="1791" width="7.28515625" style="146" customWidth="1"/>
    <col min="1792" max="1792" width="18.42578125" style="146" customWidth="1"/>
    <col min="1793" max="1816" width="15.85546875" style="146" customWidth="1"/>
    <col min="1817" max="2046" width="13.42578125" style="146" customWidth="1"/>
    <col min="2047" max="2047" width="7.28515625" style="146" customWidth="1"/>
    <col min="2048" max="2048" width="18.42578125" style="146" customWidth="1"/>
    <col min="2049" max="2072" width="15.85546875" style="146" customWidth="1"/>
    <col min="2073" max="2302" width="13.42578125" style="146" customWidth="1"/>
    <col min="2303" max="2303" width="7.28515625" style="146" customWidth="1"/>
    <col min="2304" max="2304" width="18.42578125" style="146" customWidth="1"/>
    <col min="2305" max="2328" width="15.85546875" style="146" customWidth="1"/>
    <col min="2329" max="2558" width="13.42578125" style="146" customWidth="1"/>
    <col min="2559" max="2559" width="7.28515625" style="146" customWidth="1"/>
    <col min="2560" max="2560" width="18.42578125" style="146" customWidth="1"/>
    <col min="2561" max="2584" width="15.85546875" style="146" customWidth="1"/>
    <col min="2585" max="2814" width="13.42578125" style="146" customWidth="1"/>
    <col min="2815" max="2815" width="7.28515625" style="146" customWidth="1"/>
    <col min="2816" max="2816" width="18.42578125" style="146" customWidth="1"/>
    <col min="2817" max="2840" width="15.85546875" style="146" customWidth="1"/>
    <col min="2841" max="3070" width="13.42578125" style="146" customWidth="1"/>
    <col min="3071" max="3071" width="7.28515625" style="146" customWidth="1"/>
    <col min="3072" max="3072" width="18.42578125" style="146" customWidth="1"/>
    <col min="3073" max="3096" width="15.85546875" style="146" customWidth="1"/>
    <col min="3097" max="3326" width="13.42578125" style="146" customWidth="1"/>
    <col min="3327" max="3327" width="7.28515625" style="146" customWidth="1"/>
    <col min="3328" max="3328" width="18.42578125" style="146" customWidth="1"/>
    <col min="3329" max="3352" width="15.85546875" style="146" customWidth="1"/>
    <col min="3353" max="3582" width="13.42578125" style="146" customWidth="1"/>
    <col min="3583" max="3583" width="7.28515625" style="146" customWidth="1"/>
    <col min="3584" max="3584" width="18.42578125" style="146" customWidth="1"/>
    <col min="3585" max="3608" width="15.85546875" style="146" customWidth="1"/>
    <col min="3609" max="3838" width="13.42578125" style="146" customWidth="1"/>
    <col min="3839" max="3839" width="7.28515625" style="146" customWidth="1"/>
    <col min="3840" max="3840" width="18.42578125" style="146" customWidth="1"/>
    <col min="3841" max="3864" width="15.85546875" style="146" customWidth="1"/>
    <col min="3865" max="4094" width="13.42578125" style="146" customWidth="1"/>
    <col min="4095" max="4095" width="7.28515625" style="146" customWidth="1"/>
    <col min="4096" max="4096" width="18.42578125" style="146" customWidth="1"/>
    <col min="4097" max="4120" width="15.85546875" style="146" customWidth="1"/>
    <col min="4121" max="4350" width="13.42578125" style="146" customWidth="1"/>
    <col min="4351" max="4351" width="7.28515625" style="146" customWidth="1"/>
    <col min="4352" max="4352" width="18.42578125" style="146" customWidth="1"/>
    <col min="4353" max="4376" width="15.85546875" style="146" customWidth="1"/>
    <col min="4377" max="4606" width="13.42578125" style="146" customWidth="1"/>
    <col min="4607" max="4607" width="7.28515625" style="146" customWidth="1"/>
    <col min="4608" max="4608" width="18.42578125" style="146" customWidth="1"/>
    <col min="4609" max="4632" width="15.85546875" style="146" customWidth="1"/>
    <col min="4633" max="4862" width="13.42578125" style="146" customWidth="1"/>
    <col min="4863" max="4863" width="7.28515625" style="146" customWidth="1"/>
    <col min="4864" max="4864" width="18.42578125" style="146" customWidth="1"/>
    <col min="4865" max="4888" width="15.85546875" style="146" customWidth="1"/>
    <col min="4889" max="5118" width="13.42578125" style="146" customWidth="1"/>
    <col min="5119" max="5119" width="7.28515625" style="146" customWidth="1"/>
    <col min="5120" max="5120" width="18.42578125" style="146" customWidth="1"/>
    <col min="5121" max="5144" width="15.85546875" style="146" customWidth="1"/>
    <col min="5145" max="5374" width="13.42578125" style="146" customWidth="1"/>
    <col min="5375" max="5375" width="7.28515625" style="146" customWidth="1"/>
    <col min="5376" max="5376" width="18.42578125" style="146" customWidth="1"/>
    <col min="5377" max="5400" width="15.85546875" style="146" customWidth="1"/>
    <col min="5401" max="5630" width="13.42578125" style="146" customWidth="1"/>
    <col min="5631" max="5631" width="7.28515625" style="146" customWidth="1"/>
    <col min="5632" max="5632" width="18.42578125" style="146" customWidth="1"/>
    <col min="5633" max="5656" width="15.85546875" style="146" customWidth="1"/>
    <col min="5657" max="5886" width="13.42578125" style="146" customWidth="1"/>
    <col min="5887" max="5887" width="7.28515625" style="146" customWidth="1"/>
    <col min="5888" max="5888" width="18.42578125" style="146" customWidth="1"/>
    <col min="5889" max="5912" width="15.85546875" style="146" customWidth="1"/>
    <col min="5913" max="6142" width="13.42578125" style="146" customWidth="1"/>
    <col min="6143" max="6143" width="7.28515625" style="146" customWidth="1"/>
    <col min="6144" max="6144" width="18.42578125" style="146" customWidth="1"/>
    <col min="6145" max="6168" width="15.85546875" style="146" customWidth="1"/>
    <col min="6169" max="6398" width="13.42578125" style="146" customWidth="1"/>
    <col min="6399" max="6399" width="7.28515625" style="146" customWidth="1"/>
    <col min="6400" max="6400" width="18.42578125" style="146" customWidth="1"/>
    <col min="6401" max="6424" width="15.85546875" style="146" customWidth="1"/>
    <col min="6425" max="6654" width="13.42578125" style="146" customWidth="1"/>
    <col min="6655" max="6655" width="7.28515625" style="146" customWidth="1"/>
    <col min="6656" max="6656" width="18.42578125" style="146" customWidth="1"/>
    <col min="6657" max="6680" width="15.85546875" style="146" customWidth="1"/>
    <col min="6681" max="6910" width="13.42578125" style="146" customWidth="1"/>
    <col min="6911" max="6911" width="7.28515625" style="146" customWidth="1"/>
    <col min="6912" max="6912" width="18.42578125" style="146" customWidth="1"/>
    <col min="6913" max="6936" width="15.85546875" style="146" customWidth="1"/>
    <col min="6937" max="7166" width="13.42578125" style="146" customWidth="1"/>
    <col min="7167" max="7167" width="7.28515625" style="146" customWidth="1"/>
    <col min="7168" max="7168" width="18.42578125" style="146" customWidth="1"/>
    <col min="7169" max="7192" width="15.85546875" style="146" customWidth="1"/>
    <col min="7193" max="7422" width="13.42578125" style="146" customWidth="1"/>
    <col min="7423" max="7423" width="7.28515625" style="146" customWidth="1"/>
    <col min="7424" max="7424" width="18.42578125" style="146" customWidth="1"/>
    <col min="7425" max="7448" width="15.85546875" style="146" customWidth="1"/>
    <col min="7449" max="7678" width="13.42578125" style="146" customWidth="1"/>
    <col min="7679" max="7679" width="7.28515625" style="146" customWidth="1"/>
    <col min="7680" max="7680" width="18.42578125" style="146" customWidth="1"/>
    <col min="7681" max="7704" width="15.85546875" style="146" customWidth="1"/>
    <col min="7705" max="7934" width="13.42578125" style="146" customWidth="1"/>
    <col min="7935" max="7935" width="7.28515625" style="146" customWidth="1"/>
    <col min="7936" max="7936" width="18.42578125" style="146" customWidth="1"/>
    <col min="7937" max="7960" width="15.85546875" style="146" customWidth="1"/>
    <col min="7961" max="8190" width="13.42578125" style="146" customWidth="1"/>
    <col min="8191" max="8191" width="7.28515625" style="146" customWidth="1"/>
    <col min="8192" max="8192" width="18.42578125" style="146" customWidth="1"/>
    <col min="8193" max="8216" width="15.85546875" style="146" customWidth="1"/>
    <col min="8217" max="8446" width="13.42578125" style="146" customWidth="1"/>
    <col min="8447" max="8447" width="7.28515625" style="146" customWidth="1"/>
    <col min="8448" max="8448" width="18.42578125" style="146" customWidth="1"/>
    <col min="8449" max="8472" width="15.85546875" style="146" customWidth="1"/>
    <col min="8473" max="8702" width="13.42578125" style="146" customWidth="1"/>
    <col min="8703" max="8703" width="7.28515625" style="146" customWidth="1"/>
    <col min="8704" max="8704" width="18.42578125" style="146" customWidth="1"/>
    <col min="8705" max="8728" width="15.85546875" style="146" customWidth="1"/>
    <col min="8729" max="8958" width="13.42578125" style="146" customWidth="1"/>
    <col min="8959" max="8959" width="7.28515625" style="146" customWidth="1"/>
    <col min="8960" max="8960" width="18.42578125" style="146" customWidth="1"/>
    <col min="8961" max="8984" width="15.85546875" style="146" customWidth="1"/>
    <col min="8985" max="9214" width="13.42578125" style="146" customWidth="1"/>
    <col min="9215" max="9215" width="7.28515625" style="146" customWidth="1"/>
    <col min="9216" max="9216" width="18.42578125" style="146" customWidth="1"/>
    <col min="9217" max="9240" width="15.85546875" style="146" customWidth="1"/>
    <col min="9241" max="9470" width="13.42578125" style="146" customWidth="1"/>
    <col min="9471" max="9471" width="7.28515625" style="146" customWidth="1"/>
    <col min="9472" max="9472" width="18.42578125" style="146" customWidth="1"/>
    <col min="9473" max="9496" width="15.85546875" style="146" customWidth="1"/>
    <col min="9497" max="9726" width="13.42578125" style="146" customWidth="1"/>
    <col min="9727" max="9727" width="7.28515625" style="146" customWidth="1"/>
    <col min="9728" max="9728" width="18.42578125" style="146" customWidth="1"/>
    <col min="9729" max="9752" width="15.85546875" style="146" customWidth="1"/>
    <col min="9753" max="9982" width="13.42578125" style="146" customWidth="1"/>
    <col min="9983" max="9983" width="7.28515625" style="146" customWidth="1"/>
    <col min="9984" max="9984" width="18.42578125" style="146" customWidth="1"/>
    <col min="9985" max="10008" width="15.85546875" style="146" customWidth="1"/>
    <col min="10009" max="10238" width="13.42578125" style="146" customWidth="1"/>
    <col min="10239" max="10239" width="7.28515625" style="146" customWidth="1"/>
    <col min="10240" max="10240" width="18.42578125" style="146" customWidth="1"/>
    <col min="10241" max="10264" width="15.85546875" style="146" customWidth="1"/>
    <col min="10265" max="10494" width="13.42578125" style="146" customWidth="1"/>
    <col min="10495" max="10495" width="7.28515625" style="146" customWidth="1"/>
    <col min="10496" max="10496" width="18.42578125" style="146" customWidth="1"/>
    <col min="10497" max="10520" width="15.85546875" style="146" customWidth="1"/>
    <col min="10521" max="10750" width="13.42578125" style="146" customWidth="1"/>
    <col min="10751" max="10751" width="7.28515625" style="146" customWidth="1"/>
    <col min="10752" max="10752" width="18.42578125" style="146" customWidth="1"/>
    <col min="10753" max="10776" width="15.85546875" style="146" customWidth="1"/>
    <col min="10777" max="11006" width="13.42578125" style="146" customWidth="1"/>
    <col min="11007" max="11007" width="7.28515625" style="146" customWidth="1"/>
    <col min="11008" max="11008" width="18.42578125" style="146" customWidth="1"/>
    <col min="11009" max="11032" width="15.85546875" style="146" customWidth="1"/>
    <col min="11033" max="11262" width="13.42578125" style="146" customWidth="1"/>
    <col min="11263" max="11263" width="7.28515625" style="146" customWidth="1"/>
    <col min="11264" max="11264" width="18.42578125" style="146" customWidth="1"/>
    <col min="11265" max="11288" width="15.85546875" style="146" customWidth="1"/>
    <col min="11289" max="11518" width="13.42578125" style="146" customWidth="1"/>
    <col min="11519" max="11519" width="7.28515625" style="146" customWidth="1"/>
    <col min="11520" max="11520" width="18.42578125" style="146" customWidth="1"/>
    <col min="11521" max="11544" width="15.85546875" style="146" customWidth="1"/>
    <col min="11545" max="11774" width="13.42578125" style="146" customWidth="1"/>
    <col min="11775" max="11775" width="7.28515625" style="146" customWidth="1"/>
    <col min="11776" max="11776" width="18.42578125" style="146" customWidth="1"/>
    <col min="11777" max="11800" width="15.85546875" style="146" customWidth="1"/>
    <col min="11801" max="12030" width="13.42578125" style="146" customWidth="1"/>
    <col min="12031" max="12031" width="7.28515625" style="146" customWidth="1"/>
    <col min="12032" max="12032" width="18.42578125" style="146" customWidth="1"/>
    <col min="12033" max="12056" width="15.85546875" style="146" customWidth="1"/>
    <col min="12057" max="12286" width="13.42578125" style="146" customWidth="1"/>
    <col min="12287" max="12287" width="7.28515625" style="146" customWidth="1"/>
    <col min="12288" max="12288" width="18.42578125" style="146" customWidth="1"/>
    <col min="12289" max="12312" width="15.85546875" style="146" customWidth="1"/>
    <col min="12313" max="12542" width="13.42578125" style="146" customWidth="1"/>
    <col min="12543" max="12543" width="7.28515625" style="146" customWidth="1"/>
    <col min="12544" max="12544" width="18.42578125" style="146" customWidth="1"/>
    <col min="12545" max="12568" width="15.85546875" style="146" customWidth="1"/>
    <col min="12569" max="12798" width="13.42578125" style="146" customWidth="1"/>
    <col min="12799" max="12799" width="7.28515625" style="146" customWidth="1"/>
    <col min="12800" max="12800" width="18.42578125" style="146" customWidth="1"/>
    <col min="12801" max="12824" width="15.85546875" style="146" customWidth="1"/>
    <col min="12825" max="13054" width="13.42578125" style="146" customWidth="1"/>
    <col min="13055" max="13055" width="7.28515625" style="146" customWidth="1"/>
    <col min="13056" max="13056" width="18.42578125" style="146" customWidth="1"/>
    <col min="13057" max="13080" width="15.85546875" style="146" customWidth="1"/>
    <col min="13081" max="13310" width="13.42578125" style="146" customWidth="1"/>
    <col min="13311" max="13311" width="7.28515625" style="146" customWidth="1"/>
    <col min="13312" max="13312" width="18.42578125" style="146" customWidth="1"/>
    <col min="13313" max="13336" width="15.85546875" style="146" customWidth="1"/>
    <col min="13337" max="13566" width="13.42578125" style="146" customWidth="1"/>
    <col min="13567" max="13567" width="7.28515625" style="146" customWidth="1"/>
    <col min="13568" max="13568" width="18.42578125" style="146" customWidth="1"/>
    <col min="13569" max="13592" width="15.85546875" style="146" customWidth="1"/>
    <col min="13593" max="13822" width="13.42578125" style="146" customWidth="1"/>
    <col min="13823" max="13823" width="7.28515625" style="146" customWidth="1"/>
    <col min="13824" max="13824" width="18.42578125" style="146" customWidth="1"/>
    <col min="13825" max="13848" width="15.85546875" style="146" customWidth="1"/>
    <col min="13849" max="14078" width="13.42578125" style="146" customWidth="1"/>
    <col min="14079" max="14079" width="7.28515625" style="146" customWidth="1"/>
    <col min="14080" max="14080" width="18.42578125" style="146" customWidth="1"/>
    <col min="14081" max="14104" width="15.85546875" style="146" customWidth="1"/>
    <col min="14105" max="14334" width="13.42578125" style="146" customWidth="1"/>
    <col min="14335" max="14335" width="7.28515625" style="146" customWidth="1"/>
    <col min="14336" max="14336" width="18.42578125" style="146" customWidth="1"/>
    <col min="14337" max="14360" width="15.85546875" style="146" customWidth="1"/>
    <col min="14361" max="14590" width="13.42578125" style="146" customWidth="1"/>
    <col min="14591" max="14591" width="7.28515625" style="146" customWidth="1"/>
    <col min="14592" max="14592" width="18.42578125" style="146" customWidth="1"/>
    <col min="14593" max="14616" width="15.85546875" style="146" customWidth="1"/>
    <col min="14617" max="14846" width="13.42578125" style="146" customWidth="1"/>
    <col min="14847" max="14847" width="7.28515625" style="146" customWidth="1"/>
    <col min="14848" max="14848" width="18.42578125" style="146" customWidth="1"/>
    <col min="14849" max="14872" width="15.85546875" style="146" customWidth="1"/>
    <col min="14873" max="15102" width="13.42578125" style="146" customWidth="1"/>
    <col min="15103" max="15103" width="7.28515625" style="146" customWidth="1"/>
    <col min="15104" max="15104" width="18.42578125" style="146" customWidth="1"/>
    <col min="15105" max="15128" width="15.85546875" style="146" customWidth="1"/>
    <col min="15129" max="15358" width="13.42578125" style="146" customWidth="1"/>
    <col min="15359" max="15359" width="7.28515625" style="146" customWidth="1"/>
    <col min="15360" max="15360" width="18.42578125" style="146" customWidth="1"/>
    <col min="15361" max="15384" width="15.85546875" style="146" customWidth="1"/>
    <col min="15385" max="15614" width="13.42578125" style="146" customWidth="1"/>
    <col min="15615" max="15615" width="7.28515625" style="146" customWidth="1"/>
    <col min="15616" max="15616" width="18.42578125" style="146" customWidth="1"/>
    <col min="15617" max="15640" width="15.85546875" style="146" customWidth="1"/>
    <col min="15641" max="15870" width="13.42578125" style="146" customWidth="1"/>
    <col min="15871" max="15871" width="7.28515625" style="146" customWidth="1"/>
    <col min="15872" max="15872" width="18.42578125" style="146" customWidth="1"/>
    <col min="15873" max="15896" width="15.85546875" style="146" customWidth="1"/>
    <col min="15897" max="16126" width="13.42578125" style="146" customWidth="1"/>
    <col min="16127" max="16127" width="7.28515625" style="146" customWidth="1"/>
    <col min="16128" max="16128" width="18.42578125" style="146" customWidth="1"/>
    <col min="16129" max="16152" width="15.85546875" style="146" customWidth="1"/>
    <col min="16153" max="16384" width="13.42578125" style="146" customWidth="1"/>
  </cols>
  <sheetData>
    <row r="1" spans="1:34" s="145" customFormat="1">
      <c r="A1" s="145" t="s">
        <v>216</v>
      </c>
      <c r="B1" s="145" t="s">
        <v>68</v>
      </c>
      <c r="C1" s="145" t="s">
        <v>217</v>
      </c>
      <c r="D1" s="145" t="s">
        <v>218</v>
      </c>
      <c r="E1" s="148" t="s">
        <v>222</v>
      </c>
      <c r="F1" s="148" t="s">
        <v>219</v>
      </c>
      <c r="G1" s="148" t="s">
        <v>220</v>
      </c>
      <c r="H1" s="148" t="s">
        <v>221</v>
      </c>
      <c r="I1" s="147" t="s">
        <v>69</v>
      </c>
      <c r="J1" s="147" t="s">
        <v>71</v>
      </c>
      <c r="K1" s="147" t="s">
        <v>70</v>
      </c>
      <c r="L1" s="147" t="s">
        <v>72</v>
      </c>
      <c r="M1" s="147" t="s">
        <v>73</v>
      </c>
      <c r="N1" s="147" t="s">
        <v>76</v>
      </c>
      <c r="O1" s="147" t="s">
        <v>75</v>
      </c>
      <c r="P1" s="147" t="s">
        <v>74</v>
      </c>
      <c r="Q1" s="145" t="s">
        <v>225</v>
      </c>
      <c r="R1" s="145" t="s">
        <v>229</v>
      </c>
      <c r="S1" s="145" t="s">
        <v>227</v>
      </c>
      <c r="T1" s="145" t="s">
        <v>223</v>
      </c>
      <c r="U1" s="145" t="s">
        <v>226</v>
      </c>
      <c r="V1" s="145" t="s">
        <v>230</v>
      </c>
      <c r="W1" s="145" t="s">
        <v>228</v>
      </c>
      <c r="X1" s="145" t="s">
        <v>224</v>
      </c>
      <c r="Y1" s="159" t="s">
        <v>231</v>
      </c>
      <c r="Z1" s="159" t="s">
        <v>232</v>
      </c>
      <c r="AA1" s="214" t="s">
        <v>424</v>
      </c>
      <c r="AB1" s="214" t="s">
        <v>428</v>
      </c>
      <c r="AC1" s="214" t="s">
        <v>426</v>
      </c>
      <c r="AD1" s="214" t="s">
        <v>422</v>
      </c>
      <c r="AE1" s="214" t="s">
        <v>425</v>
      </c>
      <c r="AF1" s="214" t="s">
        <v>429</v>
      </c>
      <c r="AG1" s="214" t="s">
        <v>427</v>
      </c>
      <c r="AH1" s="214" t="s">
        <v>423</v>
      </c>
    </row>
    <row r="2" spans="1:34">
      <c r="A2" s="146" t="s">
        <v>233</v>
      </c>
      <c r="B2" s="146" t="s">
        <v>77</v>
      </c>
      <c r="C2" s="146">
        <v>2891.33</v>
      </c>
      <c r="D2" s="146">
        <v>2747.4520000000002</v>
      </c>
      <c r="E2" s="146">
        <v>5638.7822265625</v>
      </c>
      <c r="F2" s="146">
        <v>19529.7265625</v>
      </c>
      <c r="G2" s="146">
        <v>18512.029296875</v>
      </c>
      <c r="H2" s="146">
        <v>38041.7578125</v>
      </c>
      <c r="I2" s="146">
        <v>5195.240234375</v>
      </c>
      <c r="J2" s="146">
        <v>2936.714599609375</v>
      </c>
      <c r="K2" s="146">
        <v>2618.60986328125</v>
      </c>
      <c r="L2" s="146">
        <v>5555.32421875</v>
      </c>
      <c r="M2" s="146">
        <v>485262.71875</v>
      </c>
      <c r="N2" s="146">
        <v>299599.46875</v>
      </c>
      <c r="O2" s="146">
        <v>267304.28125</v>
      </c>
      <c r="P2" s="146">
        <v>566903.75</v>
      </c>
      <c r="Q2" s="146">
        <v>9808.9951171875</v>
      </c>
      <c r="R2" s="146">
        <v>7903.9091796875</v>
      </c>
      <c r="S2" s="146">
        <v>6755.30224609375</v>
      </c>
      <c r="T2" s="146">
        <v>14659.212890625</v>
      </c>
      <c r="U2" s="146">
        <v>880216.1875</v>
      </c>
      <c r="V2" s="146">
        <v>586069.3125</v>
      </c>
      <c r="W2" s="146">
        <v>493893.96875</v>
      </c>
      <c r="X2" s="146">
        <v>1079963.125</v>
      </c>
      <c r="Y2" s="146">
        <v>373.40142822265625</v>
      </c>
      <c r="Z2" s="146">
        <v>42784.40234375</v>
      </c>
      <c r="AA2">
        <v>10.601181983947754</v>
      </c>
      <c r="AB2">
        <v>9.3193445205688477</v>
      </c>
      <c r="AC2">
        <v>7.561190128326416</v>
      </c>
      <c r="AD2">
        <v>16.880531311035156</v>
      </c>
      <c r="AE2">
        <v>3049.6533203125</v>
      </c>
      <c r="AF2">
        <v>7926.26123046875</v>
      </c>
      <c r="AG2">
        <v>8261.47265625</v>
      </c>
      <c r="AH2">
        <v>16187.7353515625</v>
      </c>
    </row>
    <row r="3" spans="1:34">
      <c r="A3" s="146" t="s">
        <v>235</v>
      </c>
      <c r="B3" s="146" t="s">
        <v>79</v>
      </c>
      <c r="C3" s="146">
        <v>88.031999999999996</v>
      </c>
      <c r="D3" s="146">
        <v>81.021000000000001</v>
      </c>
      <c r="E3" s="146">
        <v>169.05299377441406</v>
      </c>
      <c r="F3" s="146">
        <v>1466.7850341796875</v>
      </c>
      <c r="G3" s="146">
        <v>1414.1280517578125</v>
      </c>
      <c r="H3" s="146">
        <v>2880.9130859375</v>
      </c>
      <c r="I3" s="146">
        <v>1.732312798500061</v>
      </c>
      <c r="J3" s="146">
        <v>3.796673059463501</v>
      </c>
      <c r="K3" s="146">
        <v>5.4897913932800293</v>
      </c>
      <c r="L3" s="146">
        <v>9.286463737487793</v>
      </c>
      <c r="M3" s="146">
        <v>579.2672119140625</v>
      </c>
      <c r="N3" s="146">
        <v>2480.4228515625</v>
      </c>
      <c r="O3" s="146">
        <v>3029.713623046875</v>
      </c>
      <c r="P3" s="146">
        <v>5510.13720703125</v>
      </c>
      <c r="Q3" s="146">
        <v>26.411603927612305</v>
      </c>
      <c r="R3" s="146">
        <v>297.127685546875</v>
      </c>
      <c r="S3" s="146">
        <v>348.85684204101563</v>
      </c>
      <c r="T3" s="146">
        <v>645.98455810546875</v>
      </c>
      <c r="U3" s="146">
        <v>2553.646240234375</v>
      </c>
      <c r="V3" s="146">
        <v>6881.1669921875</v>
      </c>
      <c r="W3" s="146">
        <v>5927.72802734375</v>
      </c>
      <c r="X3" s="146">
        <v>12808.8935546875</v>
      </c>
      <c r="Y3" s="146">
        <v>0.40972000360488892</v>
      </c>
      <c r="Z3" s="146">
        <v>109.22557830810547</v>
      </c>
      <c r="AA3">
        <v>0</v>
      </c>
      <c r="AB3">
        <v>0</v>
      </c>
      <c r="AC3">
        <v>0</v>
      </c>
      <c r="AD3">
        <v>0</v>
      </c>
      <c r="AE3">
        <v>0</v>
      </c>
      <c r="AF3">
        <v>0</v>
      </c>
      <c r="AG3">
        <v>0</v>
      </c>
      <c r="AH3">
        <v>0</v>
      </c>
    </row>
    <row r="4" spans="1:34">
      <c r="A4" s="146" t="s">
        <v>262</v>
      </c>
      <c r="B4" s="146" t="s">
        <v>108</v>
      </c>
      <c r="C4" s="146">
        <v>2565.6489999999999</v>
      </c>
      <c r="D4" s="146">
        <v>2458.9670000000001</v>
      </c>
      <c r="E4" s="146">
        <v>5024.6162109375</v>
      </c>
      <c r="F4" s="146">
        <v>21749.66796875</v>
      </c>
      <c r="G4" s="146">
        <v>21303.392578125</v>
      </c>
      <c r="H4" s="146">
        <v>43053.0625</v>
      </c>
      <c r="I4" s="146">
        <v>776.28955078125</v>
      </c>
      <c r="J4" s="146">
        <v>594.1982421875</v>
      </c>
      <c r="K4" s="146">
        <v>516.54443359375</v>
      </c>
      <c r="L4" s="146">
        <v>1110.742919921875</v>
      </c>
      <c r="M4" s="146">
        <v>86100.0703125</v>
      </c>
      <c r="N4" s="146">
        <v>78812.5390625</v>
      </c>
      <c r="O4" s="146">
        <v>72606.6015625</v>
      </c>
      <c r="P4" s="146">
        <v>151419.15625</v>
      </c>
      <c r="Q4" s="146">
        <v>2437.463134765625</v>
      </c>
      <c r="R4" s="146">
        <v>3832.306884765625</v>
      </c>
      <c r="S4" s="146">
        <v>3458.572509765625</v>
      </c>
      <c r="T4" s="146">
        <v>7290.88037109375</v>
      </c>
      <c r="U4" s="146">
        <v>225735.015625</v>
      </c>
      <c r="V4" s="146">
        <v>188045.28125</v>
      </c>
      <c r="W4" s="146">
        <v>169447.875</v>
      </c>
      <c r="X4" s="146">
        <v>357493.21875</v>
      </c>
      <c r="Y4" s="146">
        <v>13.499903678894043</v>
      </c>
      <c r="Z4" s="146">
        <v>11717.638671875</v>
      </c>
      <c r="AA4">
        <v>0.45541444420814514</v>
      </c>
      <c r="AB4">
        <v>1.0510579347610474</v>
      </c>
      <c r="AC4">
        <v>1.0821129083633423</v>
      </c>
      <c r="AD4">
        <v>2.1331710815429688</v>
      </c>
      <c r="AE4">
        <v>78.87969970703125</v>
      </c>
      <c r="AF4">
        <v>198.53355407714844</v>
      </c>
      <c r="AG4">
        <v>443.18853759765625</v>
      </c>
      <c r="AH4">
        <v>641.72210693359375</v>
      </c>
    </row>
    <row r="5" spans="1:34">
      <c r="A5" s="146" t="s">
        <v>234</v>
      </c>
      <c r="B5" s="146" t="s">
        <v>78</v>
      </c>
      <c r="C5" s="146">
        <v>2861.3240000000001</v>
      </c>
      <c r="D5" s="146">
        <v>2809.1469999999999</v>
      </c>
      <c r="E5" s="146">
        <v>5670.47119140625</v>
      </c>
      <c r="F5" s="146">
        <v>15744.779296875</v>
      </c>
      <c r="G5" s="146">
        <v>16080.5205078125</v>
      </c>
      <c r="H5" s="146">
        <v>31825.30078125</v>
      </c>
      <c r="I5" s="146">
        <v>8095.50439453125</v>
      </c>
      <c r="J5" s="146">
        <v>8459.517578125</v>
      </c>
      <c r="K5" s="146">
        <v>6785.68505859375</v>
      </c>
      <c r="L5" s="146">
        <v>15245.203125</v>
      </c>
      <c r="M5" s="146">
        <v>739651.125</v>
      </c>
      <c r="N5" s="146">
        <v>608921.1875</v>
      </c>
      <c r="O5" s="146">
        <v>490516.59375</v>
      </c>
      <c r="P5" s="146">
        <v>1099437.75</v>
      </c>
      <c r="Q5" s="146">
        <v>16791.677734375</v>
      </c>
      <c r="R5" s="146">
        <v>14172.310546875</v>
      </c>
      <c r="S5" s="146">
        <v>10862.9921875</v>
      </c>
      <c r="T5" s="146">
        <v>25035.302734375</v>
      </c>
      <c r="U5" s="146">
        <v>1502011.875</v>
      </c>
      <c r="V5" s="146">
        <v>1021328.4375</v>
      </c>
      <c r="W5" s="146">
        <v>810751.5</v>
      </c>
      <c r="X5" s="146">
        <v>1832080.125</v>
      </c>
      <c r="Y5" s="146">
        <v>2235.85888671875</v>
      </c>
      <c r="Z5" s="146">
        <v>204591.96875</v>
      </c>
      <c r="AA5">
        <v>24.341697692871094</v>
      </c>
      <c r="AB5">
        <v>22.561800003051758</v>
      </c>
      <c r="AC5">
        <v>17.847160339355469</v>
      </c>
      <c r="AD5">
        <v>40.408958435058594</v>
      </c>
      <c r="AE5">
        <v>3411.592041015625</v>
      </c>
      <c r="AF5">
        <v>6527.7021484375</v>
      </c>
      <c r="AG5">
        <v>9447.6533203125</v>
      </c>
      <c r="AH5">
        <v>15975.3544921875</v>
      </c>
    </row>
    <row r="6" spans="1:34">
      <c r="A6" s="146" t="s">
        <v>236</v>
      </c>
      <c r="B6" s="146" t="s">
        <v>80</v>
      </c>
      <c r="C6" s="146">
        <v>1905.961</v>
      </c>
      <c r="D6" s="146">
        <v>1835.921</v>
      </c>
      <c r="E6" s="146">
        <v>3741.882080078125</v>
      </c>
      <c r="F6" s="146">
        <v>21841.4140625</v>
      </c>
      <c r="G6" s="146">
        <v>22939.259765625</v>
      </c>
      <c r="H6" s="146">
        <v>44780.671875</v>
      </c>
      <c r="I6" s="146">
        <v>55.017189025878906</v>
      </c>
      <c r="J6" s="146">
        <v>239.46864318847656</v>
      </c>
      <c r="K6" s="146">
        <v>338.73678588867188</v>
      </c>
      <c r="L6" s="146">
        <v>578.20538330078125</v>
      </c>
      <c r="M6" s="146">
        <v>11718.0068359375</v>
      </c>
      <c r="N6" s="146">
        <v>28903.74609375</v>
      </c>
      <c r="O6" s="146">
        <v>23564.875</v>
      </c>
      <c r="P6" s="146">
        <v>52468.62109375</v>
      </c>
      <c r="Q6" s="146">
        <v>360.0869140625</v>
      </c>
      <c r="R6" s="146">
        <v>18940.26171875</v>
      </c>
      <c r="S6" s="146">
        <v>22059.537109375</v>
      </c>
      <c r="T6" s="146">
        <v>40999.796875</v>
      </c>
      <c r="U6" s="146">
        <v>39409.98046875</v>
      </c>
      <c r="V6" s="146">
        <v>362538.125</v>
      </c>
      <c r="W6" s="146">
        <v>330395.375</v>
      </c>
      <c r="X6" s="146">
        <v>692933.5</v>
      </c>
      <c r="Y6" s="146">
        <v>30.49473762512207</v>
      </c>
      <c r="Z6" s="146">
        <v>3051.595458984375</v>
      </c>
      <c r="AA6">
        <v>9.3536458909511566E-2</v>
      </c>
      <c r="AB6">
        <v>5.1213793456554413E-2</v>
      </c>
      <c r="AC6">
        <v>0.37989982962608337</v>
      </c>
      <c r="AD6">
        <v>0.431113600730896</v>
      </c>
      <c r="AE6">
        <v>70.997871398925781</v>
      </c>
      <c r="AF6">
        <v>349.89166259765625</v>
      </c>
      <c r="AG6">
        <v>1062.2698974609375</v>
      </c>
      <c r="AH6">
        <v>1412.16162109375</v>
      </c>
    </row>
    <row r="7" spans="1:34">
      <c r="A7" s="146" t="s">
        <v>237</v>
      </c>
      <c r="B7" s="146" t="s">
        <v>81</v>
      </c>
      <c r="C7" s="146">
        <v>109.913</v>
      </c>
      <c r="D7" s="146">
        <v>98.466999999999999</v>
      </c>
      <c r="E7" s="146">
        <v>208.3800048828125</v>
      </c>
      <c r="F7" s="146">
        <v>1391.2691650390625</v>
      </c>
      <c r="G7" s="146">
        <v>1566.458984375</v>
      </c>
      <c r="H7" s="146">
        <v>2957.72802734375</v>
      </c>
      <c r="I7" s="146">
        <v>6.8310079574584961</v>
      </c>
      <c r="J7" s="146">
        <v>4.7153325080871582</v>
      </c>
      <c r="K7" s="146">
        <v>4.7834858894348145</v>
      </c>
      <c r="L7" s="146">
        <v>9.4988183975219727</v>
      </c>
      <c r="M7" s="146">
        <v>1084.71484375</v>
      </c>
      <c r="N7" s="146">
        <v>2800.096435546875</v>
      </c>
      <c r="O7" s="146">
        <v>3167.144775390625</v>
      </c>
      <c r="P7" s="146">
        <v>5967.24169921875</v>
      </c>
      <c r="Q7" s="146">
        <v>58.431144714355469</v>
      </c>
      <c r="R7" s="146">
        <v>485.05661010742188</v>
      </c>
      <c r="S7" s="146">
        <v>733.15924072265625</v>
      </c>
      <c r="T7" s="146">
        <v>1218.2159423828125</v>
      </c>
      <c r="U7" s="146">
        <v>5458.3447265625</v>
      </c>
      <c r="V7" s="146">
        <v>13543.3349609375</v>
      </c>
      <c r="W7" s="146">
        <v>12825.4716796875</v>
      </c>
      <c r="X7" s="146">
        <v>26368.806640625</v>
      </c>
      <c r="Y7" s="146">
        <v>7.3720946907997131E-2</v>
      </c>
      <c r="Z7" s="146">
        <v>80.756217956542969</v>
      </c>
      <c r="AA7">
        <v>1.5414701774716377E-2</v>
      </c>
      <c r="AB7">
        <v>8.8467774912714958E-3</v>
      </c>
      <c r="AC7">
        <v>6.5679242834448814E-3</v>
      </c>
      <c r="AD7">
        <v>1.5414701774716377E-2</v>
      </c>
      <c r="AE7">
        <v>3.2496263980865479</v>
      </c>
      <c r="AF7">
        <v>10.948817253112793</v>
      </c>
      <c r="AG7">
        <v>42.411277770996094</v>
      </c>
      <c r="AH7">
        <v>53.360092163085938</v>
      </c>
    </row>
    <row r="8" spans="1:34">
      <c r="A8" s="146" t="s">
        <v>238</v>
      </c>
      <c r="B8" s="146" t="s">
        <v>82</v>
      </c>
      <c r="C8" s="146">
        <v>449.23399999999998</v>
      </c>
      <c r="D8" s="146">
        <v>399.13299999999998</v>
      </c>
      <c r="E8" s="146">
        <v>848.36700439453125</v>
      </c>
      <c r="F8" s="146">
        <v>5015.83544921875</v>
      </c>
      <c r="G8" s="146">
        <v>5031.88525390625</v>
      </c>
      <c r="H8" s="146">
        <v>10047.720703125</v>
      </c>
      <c r="I8" s="146">
        <v>231.5750732421875</v>
      </c>
      <c r="J8" s="146">
        <v>155.58500671386719</v>
      </c>
      <c r="K8" s="146">
        <v>106.23772430419922</v>
      </c>
      <c r="L8" s="146">
        <v>261.82269287109375</v>
      </c>
      <c r="M8" s="146">
        <v>22677.958984375</v>
      </c>
      <c r="N8" s="146">
        <v>21636.05078125</v>
      </c>
      <c r="O8" s="146">
        <v>17705.96484375</v>
      </c>
      <c r="P8" s="146">
        <v>39342.015625</v>
      </c>
      <c r="Q8" s="146">
        <v>471.27059936523438</v>
      </c>
      <c r="R8" s="146">
        <v>1000.835205078125</v>
      </c>
      <c r="S8" s="146">
        <v>797.27630615234375</v>
      </c>
      <c r="T8" s="146">
        <v>1798.1114501953125</v>
      </c>
      <c r="U8" s="146">
        <v>42898.26171875</v>
      </c>
      <c r="V8" s="146">
        <v>52858.40625</v>
      </c>
      <c r="W8" s="146">
        <v>36808.56640625</v>
      </c>
      <c r="X8" s="146">
        <v>89666.9921875</v>
      </c>
      <c r="Y8" s="146">
        <v>6.1011195182800293</v>
      </c>
      <c r="Z8" s="146">
        <v>1208.4405517578125</v>
      </c>
      <c r="AA8">
        <v>2.9515011236071587E-2</v>
      </c>
      <c r="AB8">
        <v>8.0853819847106934E-2</v>
      </c>
      <c r="AC8">
        <v>6.2009189277887344E-2</v>
      </c>
      <c r="AD8">
        <v>0.14286299049854279</v>
      </c>
      <c r="AE8">
        <v>10.249767303466797</v>
      </c>
      <c r="AF8">
        <v>47.937034606933594</v>
      </c>
      <c r="AG8">
        <v>348.17913818359375</v>
      </c>
      <c r="AH8">
        <v>396.11618041992188</v>
      </c>
    </row>
    <row r="9" spans="1:34">
      <c r="A9" s="146" t="s">
        <v>242</v>
      </c>
      <c r="B9" s="146" t="s">
        <v>86</v>
      </c>
      <c r="C9" s="146">
        <v>7366.4040000000005</v>
      </c>
      <c r="D9" s="146">
        <v>7052.3419999999996</v>
      </c>
      <c r="E9" s="146">
        <v>14418.74609375</v>
      </c>
      <c r="F9" s="146">
        <v>82473.78125</v>
      </c>
      <c r="G9" s="146">
        <v>80572.3828125</v>
      </c>
      <c r="H9" s="146">
        <v>163046.15625</v>
      </c>
      <c r="I9" s="146">
        <v>4180.48876953125</v>
      </c>
      <c r="J9" s="146">
        <v>14118.9775390625</v>
      </c>
      <c r="K9" s="146">
        <v>21991.751953125</v>
      </c>
      <c r="L9" s="146">
        <v>36110.7265625</v>
      </c>
      <c r="M9" s="146">
        <v>391932.03125</v>
      </c>
      <c r="N9" s="146">
        <v>706458.5</v>
      </c>
      <c r="O9" s="146">
        <v>814967.6875</v>
      </c>
      <c r="P9" s="146">
        <v>1521426.125</v>
      </c>
      <c r="Q9" s="146">
        <v>8659.2587890625</v>
      </c>
      <c r="R9" s="146">
        <v>15262.009765625</v>
      </c>
      <c r="S9" s="146">
        <v>14437.5966796875</v>
      </c>
      <c r="T9" s="146">
        <v>29699.60546875</v>
      </c>
      <c r="U9" s="146">
        <v>801862.25</v>
      </c>
      <c r="V9" s="146">
        <v>785692.3125</v>
      </c>
      <c r="W9" s="146">
        <v>693816.125</v>
      </c>
      <c r="X9" s="146">
        <v>1479508.75</v>
      </c>
      <c r="Y9" s="146">
        <v>1174.12255859375</v>
      </c>
      <c r="Z9" s="146">
        <v>152626.609375</v>
      </c>
      <c r="AA9">
        <v>13.227400779724121</v>
      </c>
      <c r="AB9">
        <v>18.982522964477539</v>
      </c>
      <c r="AC9">
        <v>12.507155418395996</v>
      </c>
      <c r="AD9">
        <v>31.489675521850586</v>
      </c>
      <c r="AE9">
        <v>13787.4677734375</v>
      </c>
      <c r="AF9">
        <v>71275.640625</v>
      </c>
      <c r="AG9">
        <v>78784.65625</v>
      </c>
      <c r="AH9">
        <v>150060.28125</v>
      </c>
    </row>
    <row r="10" spans="1:34">
      <c r="A10" s="146" t="s">
        <v>245</v>
      </c>
      <c r="B10" s="146" t="s">
        <v>89</v>
      </c>
      <c r="C10" s="146">
        <v>282.142</v>
      </c>
      <c r="D10" s="146">
        <v>274.25900000000001</v>
      </c>
      <c r="E10" s="146">
        <v>556.4010009765625</v>
      </c>
      <c r="F10" s="146">
        <v>4399.9130859375</v>
      </c>
      <c r="G10" s="146">
        <v>5052.49609375</v>
      </c>
      <c r="H10" s="146">
        <v>9452.4091796875</v>
      </c>
      <c r="I10" s="146">
        <v>2.1064825057983398</v>
      </c>
      <c r="J10" s="146">
        <v>4.8575725555419922</v>
      </c>
      <c r="K10" s="146">
        <v>7.8705892562866211</v>
      </c>
      <c r="L10" s="146">
        <v>12.72816276550293</v>
      </c>
      <c r="M10" s="146">
        <v>1308.3192138671875</v>
      </c>
      <c r="N10" s="146">
        <v>5831.91162109375</v>
      </c>
      <c r="O10" s="146">
        <v>7697.57421875</v>
      </c>
      <c r="P10" s="146">
        <v>13529.4853515625</v>
      </c>
      <c r="Q10" s="146">
        <v>21.013065338134766</v>
      </c>
      <c r="R10" s="146">
        <v>672.80560302734375</v>
      </c>
      <c r="S10" s="146">
        <v>418.64337158203125</v>
      </c>
      <c r="T10" s="146">
        <v>1091.448974609375</v>
      </c>
      <c r="U10" s="146">
        <v>2547.12109375</v>
      </c>
      <c r="V10" s="146">
        <v>25844.02734375</v>
      </c>
      <c r="W10" s="146">
        <v>11569.685546875</v>
      </c>
      <c r="X10" s="146">
        <v>37413.7109375</v>
      </c>
      <c r="Y10" s="146">
        <v>1.1188416481018066</v>
      </c>
      <c r="Z10" s="146">
        <v>290.84527587890625</v>
      </c>
      <c r="AA10">
        <v>0</v>
      </c>
      <c r="AB10">
        <v>0</v>
      </c>
      <c r="AC10">
        <v>0</v>
      </c>
      <c r="AD10">
        <v>0</v>
      </c>
      <c r="AE10">
        <v>0</v>
      </c>
      <c r="AF10">
        <v>0</v>
      </c>
      <c r="AG10">
        <v>0</v>
      </c>
      <c r="AH10">
        <v>0</v>
      </c>
    </row>
    <row r="11" spans="1:34">
      <c r="A11" s="146" t="s">
        <v>246</v>
      </c>
      <c r="B11" s="146" t="s">
        <v>90</v>
      </c>
      <c r="C11" s="146">
        <v>19.91</v>
      </c>
      <c r="D11" s="146">
        <v>19.413</v>
      </c>
      <c r="E11" s="146">
        <v>39.323001861572266</v>
      </c>
      <c r="F11" s="146">
        <v>194.281005859375</v>
      </c>
      <c r="G11" s="146">
        <v>196.06997680664063</v>
      </c>
      <c r="H11" s="146">
        <v>390.35098266601563</v>
      </c>
      <c r="I11" s="146">
        <v>2.0036084651947021</v>
      </c>
      <c r="J11" s="146">
        <v>4.8518743515014648</v>
      </c>
      <c r="K11" s="146">
        <v>3.8082807064056396</v>
      </c>
      <c r="L11" s="146">
        <v>8.6601543426513672</v>
      </c>
      <c r="M11" s="146">
        <v>275.53955078125</v>
      </c>
      <c r="N11" s="146">
        <v>513.03375244140625</v>
      </c>
      <c r="O11" s="146">
        <v>428.91693115234375</v>
      </c>
      <c r="P11" s="146">
        <v>941.950927734375</v>
      </c>
      <c r="Q11" s="146">
        <v>3.6478044986724854</v>
      </c>
      <c r="R11" s="146">
        <v>55.264278411865234</v>
      </c>
      <c r="S11" s="146">
        <v>41.377792358398438</v>
      </c>
      <c r="T11" s="146">
        <v>96.642074584960938</v>
      </c>
      <c r="U11" s="146">
        <v>394.36801147460938</v>
      </c>
      <c r="V11" s="146">
        <v>1672.3221435546875</v>
      </c>
      <c r="W11" s="146">
        <v>1202.4375</v>
      </c>
      <c r="X11" s="146">
        <v>2874.75927734375</v>
      </c>
      <c r="Y11" s="146">
        <v>1.4230470657348633</v>
      </c>
      <c r="Z11" s="146">
        <v>135.472900390625</v>
      </c>
      <c r="AA11">
        <v>5.9274868108332157E-3</v>
      </c>
      <c r="AB11">
        <v>1.5363616868853569E-2</v>
      </c>
      <c r="AC11">
        <v>1.2798584066331387E-2</v>
      </c>
      <c r="AD11">
        <v>2.8162203729152679E-2</v>
      </c>
      <c r="AE11">
        <v>1.9251827001571655</v>
      </c>
      <c r="AF11">
        <v>7.8781642913818359</v>
      </c>
      <c r="AG11">
        <v>21.223560333251953</v>
      </c>
      <c r="AH11">
        <v>29.101720809936523</v>
      </c>
    </row>
    <row r="12" spans="1:34">
      <c r="A12" s="146" t="s">
        <v>240</v>
      </c>
      <c r="B12" s="146" t="s">
        <v>84</v>
      </c>
      <c r="C12" s="146">
        <v>951.27800000000002</v>
      </c>
      <c r="D12" s="146">
        <v>922.92499999999995</v>
      </c>
      <c r="E12" s="146">
        <v>1874.2030029296875</v>
      </c>
      <c r="F12" s="146">
        <v>5891.255859375</v>
      </c>
      <c r="G12" s="146">
        <v>5909.89501953125</v>
      </c>
      <c r="H12" s="146">
        <v>11801.150390625</v>
      </c>
      <c r="I12" s="146">
        <v>3333.087158203125</v>
      </c>
      <c r="J12" s="146">
        <v>3747.361572265625</v>
      </c>
      <c r="K12" s="146">
        <v>3082.95654296875</v>
      </c>
      <c r="L12" s="146">
        <v>6830.318359375</v>
      </c>
      <c r="M12" s="146">
        <v>300961.90625</v>
      </c>
      <c r="N12" s="146">
        <v>264864.65625</v>
      </c>
      <c r="O12" s="146">
        <v>212006.84375</v>
      </c>
      <c r="P12" s="146">
        <v>476871.46875</v>
      </c>
      <c r="Q12" s="146">
        <v>5279.462890625</v>
      </c>
      <c r="R12" s="146">
        <v>5583.47412109375</v>
      </c>
      <c r="S12" s="146">
        <v>4638.60546875</v>
      </c>
      <c r="T12" s="146">
        <v>10222.080078125</v>
      </c>
      <c r="U12" s="146">
        <v>471348.4375</v>
      </c>
      <c r="V12" s="146">
        <v>360282.25</v>
      </c>
      <c r="W12" s="146">
        <v>288961.84375</v>
      </c>
      <c r="X12" s="146">
        <v>649244</v>
      </c>
      <c r="Y12" s="146">
        <v>631.42138671875</v>
      </c>
      <c r="Z12" s="146">
        <v>61589.890625</v>
      </c>
      <c r="AA12">
        <v>26.729310989379883</v>
      </c>
      <c r="AB12">
        <v>19.900863647460938</v>
      </c>
      <c r="AC12">
        <v>20.295383453369141</v>
      </c>
      <c r="AD12">
        <v>40.196250915527344</v>
      </c>
      <c r="AE12">
        <v>2882.98828125</v>
      </c>
      <c r="AF12">
        <v>3646.75439453125</v>
      </c>
      <c r="AG12">
        <v>4899.12548828125</v>
      </c>
      <c r="AH12">
        <v>8545.87890625</v>
      </c>
    </row>
    <row r="13" spans="1:34">
      <c r="A13" s="146" t="s">
        <v>248</v>
      </c>
      <c r="B13" s="146" t="s">
        <v>93</v>
      </c>
      <c r="C13" s="146">
        <v>32.311999999999998</v>
      </c>
      <c r="D13" s="146">
        <v>31.248000000000001</v>
      </c>
      <c r="E13" s="146">
        <v>63.560001373291016</v>
      </c>
      <c r="F13" s="146">
        <v>405.03204345703125</v>
      </c>
      <c r="G13" s="146">
        <v>358.06198120117188</v>
      </c>
      <c r="H13" s="146">
        <v>763.093994140625</v>
      </c>
      <c r="I13" s="146">
        <v>17.123931884765625</v>
      </c>
      <c r="J13" s="146">
        <v>94.267486572265625</v>
      </c>
      <c r="K13" s="146">
        <v>75.096733093261719</v>
      </c>
      <c r="L13" s="146">
        <v>169.36424255371094</v>
      </c>
      <c r="M13" s="146">
        <v>1629.8392333984375</v>
      </c>
      <c r="N13" s="146">
        <v>4189.67236328125</v>
      </c>
      <c r="O13" s="146">
        <v>3417.191650390625</v>
      </c>
      <c r="P13" s="146">
        <v>7606.86376953125</v>
      </c>
      <c r="Q13" s="146">
        <v>52.38787841796875</v>
      </c>
      <c r="R13" s="146">
        <v>95.667823791503906</v>
      </c>
      <c r="S13" s="146">
        <v>82.488555908203125</v>
      </c>
      <c r="T13" s="146">
        <v>178.15638732910156</v>
      </c>
      <c r="U13" s="146">
        <v>4775.0478515625</v>
      </c>
      <c r="V13" s="146">
        <v>4376.90576171875</v>
      </c>
      <c r="W13" s="146">
        <v>3584.489013671875</v>
      </c>
      <c r="X13" s="146">
        <v>7961.39404296875</v>
      </c>
      <c r="Y13" s="146">
        <v>2.7318577766418457</v>
      </c>
      <c r="Z13" s="146">
        <v>295.45623779296875</v>
      </c>
      <c r="AA13">
        <v>8.4895677864551544E-2</v>
      </c>
      <c r="AB13">
        <v>0.10501831024885178</v>
      </c>
      <c r="AC13">
        <v>7.3453597724437714E-2</v>
      </c>
      <c r="AD13">
        <v>0.17847195267677307</v>
      </c>
      <c r="AE13">
        <v>14.754435539245605</v>
      </c>
      <c r="AF13">
        <v>45.436977386474609</v>
      </c>
      <c r="AG13">
        <v>87.514137268066406</v>
      </c>
      <c r="AH13">
        <v>132.95112609863281</v>
      </c>
    </row>
    <row r="14" spans="1:34">
      <c r="A14" s="146" t="s">
        <v>471</v>
      </c>
      <c r="B14" s="146" t="s">
        <v>91</v>
      </c>
      <c r="C14" s="146">
        <v>606.851</v>
      </c>
      <c r="D14" s="146">
        <v>580.23900000000003</v>
      </c>
      <c r="E14" s="146">
        <v>1187.0899658203125</v>
      </c>
      <c r="F14" s="146">
        <v>5779.6103515625</v>
      </c>
      <c r="G14" s="146">
        <v>5733.49072265625</v>
      </c>
      <c r="H14" s="146">
        <v>11513.1015625</v>
      </c>
      <c r="I14" s="146">
        <v>329.61666870117188</v>
      </c>
      <c r="J14" s="146">
        <v>380.15713500976563</v>
      </c>
      <c r="K14" s="146">
        <v>502.77029418945313</v>
      </c>
      <c r="L14" s="146">
        <v>882.9273681640625</v>
      </c>
      <c r="M14" s="146">
        <v>34538.1796875</v>
      </c>
      <c r="N14" s="146">
        <v>32007.0625</v>
      </c>
      <c r="O14" s="146">
        <v>30689.001953125</v>
      </c>
      <c r="P14" s="146">
        <v>62696.05859375</v>
      </c>
      <c r="Q14" s="146">
        <v>737.46856689453125</v>
      </c>
      <c r="R14" s="146">
        <v>3698.629150390625</v>
      </c>
      <c r="S14" s="146">
        <v>4385.82373046875</v>
      </c>
      <c r="T14" s="146">
        <v>8084.45263671875</v>
      </c>
      <c r="U14" s="146">
        <v>67724.84375</v>
      </c>
      <c r="V14" s="146">
        <v>103543.015625</v>
      </c>
      <c r="W14" s="146">
        <v>102374.1171875</v>
      </c>
      <c r="X14" s="146">
        <v>205917.125</v>
      </c>
      <c r="Y14" s="146">
        <v>129.21159362792969</v>
      </c>
      <c r="Z14" s="146">
        <v>11650.03125</v>
      </c>
      <c r="AA14">
        <v>0.78564983606338501</v>
      </c>
      <c r="AB14">
        <v>0.90748202800750732</v>
      </c>
      <c r="AC14">
        <v>0.91826486587524414</v>
      </c>
      <c r="AD14">
        <v>1.825747013092041</v>
      </c>
      <c r="AE14">
        <v>102.1998291015625</v>
      </c>
      <c r="AF14">
        <v>245.70623779296875</v>
      </c>
      <c r="AG14">
        <v>414.9759521484375</v>
      </c>
      <c r="AH14">
        <v>660.6822509765625</v>
      </c>
    </row>
    <row r="15" spans="1:34">
      <c r="A15" s="146" t="s">
        <v>244</v>
      </c>
      <c r="B15" s="146" t="s">
        <v>88</v>
      </c>
      <c r="C15" s="146">
        <v>70.866</v>
      </c>
      <c r="D15" s="146">
        <v>66.730999999999995</v>
      </c>
      <c r="E15" s="146">
        <v>137.59700012207031</v>
      </c>
      <c r="F15" s="146">
        <v>1616.7989501953125</v>
      </c>
      <c r="G15" s="146">
        <v>1684.198974609375</v>
      </c>
      <c r="H15" s="146">
        <v>3300.998046875</v>
      </c>
      <c r="I15" s="146">
        <v>1.4420634508132935</v>
      </c>
      <c r="J15" s="146">
        <v>4.4066677093505859</v>
      </c>
      <c r="K15" s="146">
        <v>3.7407610416412354</v>
      </c>
      <c r="L15" s="146">
        <v>8.1474285125732422</v>
      </c>
      <c r="M15" s="146">
        <v>450.57296752929688</v>
      </c>
      <c r="N15" s="146">
        <v>2654.833740234375</v>
      </c>
      <c r="O15" s="146">
        <v>2986.9638671875</v>
      </c>
      <c r="P15" s="146">
        <v>5641.7978515625</v>
      </c>
      <c r="Q15" s="146">
        <v>9.365142822265625</v>
      </c>
      <c r="R15" s="146">
        <v>228.54066467285156</v>
      </c>
      <c r="S15" s="146">
        <v>211.80471801757813</v>
      </c>
      <c r="T15" s="146">
        <v>440.34536743164063</v>
      </c>
      <c r="U15" s="146">
        <v>992.622802734375</v>
      </c>
      <c r="V15" s="146">
        <v>6121.28125</v>
      </c>
      <c r="W15" s="146">
        <v>5067.04443359375</v>
      </c>
      <c r="X15" s="146">
        <v>11188.3251953125</v>
      </c>
      <c r="Y15" s="146">
        <v>1.7832547891885042E-3</v>
      </c>
      <c r="Z15" s="146">
        <v>31.18153190612793</v>
      </c>
      <c r="AA15">
        <v>0</v>
      </c>
      <c r="AB15">
        <v>0</v>
      </c>
      <c r="AC15">
        <v>0</v>
      </c>
      <c r="AD15">
        <v>0</v>
      </c>
      <c r="AE15">
        <v>0</v>
      </c>
      <c r="AF15">
        <v>0</v>
      </c>
      <c r="AG15">
        <v>0</v>
      </c>
      <c r="AH15">
        <v>0</v>
      </c>
    </row>
    <row r="16" spans="1:34">
      <c r="A16" s="146" t="s">
        <v>249</v>
      </c>
      <c r="B16" s="146" t="s">
        <v>94</v>
      </c>
      <c r="C16" s="146">
        <v>137.62899999999999</v>
      </c>
      <c r="D16" s="146">
        <v>134.47200000000001</v>
      </c>
      <c r="E16" s="146">
        <v>272.10101318359375</v>
      </c>
      <c r="F16" s="146">
        <v>1114.115966796875</v>
      </c>
      <c r="G16" s="146">
        <v>1189.5869140625</v>
      </c>
      <c r="H16" s="146">
        <v>2303.702880859375</v>
      </c>
      <c r="I16" s="146">
        <v>182.68374633789063</v>
      </c>
      <c r="J16" s="146">
        <v>321.776611328125</v>
      </c>
      <c r="K16" s="146">
        <v>205.34381103515625</v>
      </c>
      <c r="L16" s="146">
        <v>527.12042236328125</v>
      </c>
      <c r="M16" s="146">
        <v>17259.724609375</v>
      </c>
      <c r="N16" s="146">
        <v>19613.9453125</v>
      </c>
      <c r="O16" s="146">
        <v>13509.4462890625</v>
      </c>
      <c r="P16" s="146">
        <v>33123.39453125</v>
      </c>
      <c r="Q16" s="146">
        <v>330.31021118164063</v>
      </c>
      <c r="R16" s="146">
        <v>931.92913818359375</v>
      </c>
      <c r="S16" s="146">
        <v>749.2669677734375</v>
      </c>
      <c r="T16" s="146">
        <v>1681.196044921875</v>
      </c>
      <c r="U16" s="146">
        <v>29804.564453125</v>
      </c>
      <c r="V16" s="146">
        <v>41304.9609375</v>
      </c>
      <c r="W16" s="146">
        <v>32365.013671875</v>
      </c>
      <c r="X16" s="146">
        <v>73669.96875</v>
      </c>
      <c r="Y16" s="146">
        <v>106.35355377197266</v>
      </c>
      <c r="Z16" s="146">
        <v>9765.734375</v>
      </c>
      <c r="AA16">
        <v>0.27353611588478088</v>
      </c>
      <c r="AB16">
        <v>0.23462760448455811</v>
      </c>
      <c r="AC16">
        <v>0.2164231538772583</v>
      </c>
      <c r="AD16">
        <v>0.45105078816413879</v>
      </c>
      <c r="AE16">
        <v>53.218555450439453</v>
      </c>
      <c r="AF16">
        <v>228.07330322265625</v>
      </c>
      <c r="AG16">
        <v>391.076904296875</v>
      </c>
      <c r="AH16">
        <v>619.1502685546875</v>
      </c>
    </row>
    <row r="17" spans="1:34">
      <c r="A17" s="146" t="s">
        <v>247</v>
      </c>
      <c r="B17" s="146" t="s">
        <v>92</v>
      </c>
      <c r="C17" s="146">
        <v>7454.1970000000001</v>
      </c>
      <c r="D17" s="146">
        <v>7117.7529999999997</v>
      </c>
      <c r="E17" s="146">
        <v>14571.9501953125</v>
      </c>
      <c r="F17" s="146">
        <v>103733.171875</v>
      </c>
      <c r="G17" s="146">
        <v>107316.359375</v>
      </c>
      <c r="H17" s="146">
        <v>211049.53125</v>
      </c>
      <c r="I17" s="146">
        <v>908.78155517578125</v>
      </c>
      <c r="J17" s="146">
        <v>2488.16455078125</v>
      </c>
      <c r="K17" s="146">
        <v>3171.2373046875</v>
      </c>
      <c r="L17" s="146">
        <v>5659.40185546875</v>
      </c>
      <c r="M17" s="146">
        <v>124183.53125</v>
      </c>
      <c r="N17" s="146">
        <v>226435.9375</v>
      </c>
      <c r="O17" s="146">
        <v>228199.1875</v>
      </c>
      <c r="P17" s="146">
        <v>454635.09375</v>
      </c>
      <c r="Q17" s="146">
        <v>3181.2470703125</v>
      </c>
      <c r="R17" s="146">
        <v>46854.87109375</v>
      </c>
      <c r="S17" s="146">
        <v>48203.69921875</v>
      </c>
      <c r="T17" s="146">
        <v>95058.5703125</v>
      </c>
      <c r="U17" s="146">
        <v>316836.59375</v>
      </c>
      <c r="V17" s="146">
        <v>1205390.375</v>
      </c>
      <c r="W17" s="146">
        <v>976755.6875</v>
      </c>
      <c r="X17" s="146">
        <v>2182146</v>
      </c>
      <c r="Y17" s="146">
        <v>447.93606567382813</v>
      </c>
      <c r="Z17" s="146">
        <v>44871.9453125</v>
      </c>
      <c r="AA17">
        <v>1.1782968044281006</v>
      </c>
      <c r="AB17">
        <v>3.4779627323150635</v>
      </c>
      <c r="AC17">
        <v>3.9124760627746582</v>
      </c>
      <c r="AD17">
        <v>7.3904385566711426</v>
      </c>
      <c r="AE17">
        <v>977.30865478515625</v>
      </c>
      <c r="AF17">
        <v>7445.412109375</v>
      </c>
      <c r="AG17">
        <v>15580.8623046875</v>
      </c>
      <c r="AH17">
        <v>23026.275390625</v>
      </c>
    </row>
    <row r="18" spans="1:34">
      <c r="A18" s="146" t="s">
        <v>243</v>
      </c>
      <c r="B18" s="146" t="s">
        <v>87</v>
      </c>
      <c r="C18" s="146">
        <v>161.715</v>
      </c>
      <c r="D18" s="146">
        <v>152.828</v>
      </c>
      <c r="E18" s="146">
        <v>314.54299926757813</v>
      </c>
      <c r="F18" s="146">
        <v>3400.053955078125</v>
      </c>
      <c r="G18" s="146">
        <v>3600.063232421875</v>
      </c>
      <c r="H18" s="146">
        <v>7000.1171875</v>
      </c>
      <c r="I18" s="146">
        <v>10.229470252990723</v>
      </c>
      <c r="J18" s="146">
        <v>13.383045196533203</v>
      </c>
      <c r="K18" s="146">
        <v>13.131033897399902</v>
      </c>
      <c r="L18" s="146">
        <v>26.514078140258789</v>
      </c>
      <c r="M18" s="146">
        <v>1609.959716796875</v>
      </c>
      <c r="N18" s="146">
        <v>5036.9697265625</v>
      </c>
      <c r="O18" s="146">
        <v>5618.8984375</v>
      </c>
      <c r="P18" s="146">
        <v>10655.865234375</v>
      </c>
      <c r="Q18" s="146">
        <v>53.789100646972656</v>
      </c>
      <c r="R18" s="146">
        <v>835.33514404296875</v>
      </c>
      <c r="S18" s="146">
        <v>564.838134765625</v>
      </c>
      <c r="T18" s="146">
        <v>1400.1732177734375</v>
      </c>
      <c r="U18" s="146">
        <v>5148.23095703125</v>
      </c>
      <c r="V18" s="146">
        <v>24877.744140625</v>
      </c>
      <c r="W18" s="146">
        <v>14807.8984375</v>
      </c>
      <c r="X18" s="146">
        <v>39685.640625</v>
      </c>
      <c r="Y18" s="146">
        <v>0.3360627293586731</v>
      </c>
      <c r="Z18" s="146">
        <v>238.97901916503906</v>
      </c>
      <c r="AA18">
        <v>0</v>
      </c>
      <c r="AB18">
        <v>0</v>
      </c>
      <c r="AC18">
        <v>0</v>
      </c>
      <c r="AD18">
        <v>0</v>
      </c>
      <c r="AE18">
        <v>0</v>
      </c>
      <c r="AF18">
        <v>0</v>
      </c>
      <c r="AG18">
        <v>0</v>
      </c>
      <c r="AH18">
        <v>0</v>
      </c>
    </row>
    <row r="19" spans="1:34">
      <c r="A19" s="146" t="s">
        <v>241</v>
      </c>
      <c r="B19" s="146" t="s">
        <v>85</v>
      </c>
      <c r="C19" s="146">
        <v>1734.2360000000001</v>
      </c>
      <c r="D19" s="146">
        <v>1674.0250000000001</v>
      </c>
      <c r="E19" s="146">
        <v>3408.260986328125</v>
      </c>
      <c r="F19" s="146">
        <v>10147.7734375</v>
      </c>
      <c r="G19" s="146">
        <v>10173.607421875</v>
      </c>
      <c r="H19" s="146">
        <v>20321.380859375</v>
      </c>
      <c r="I19" s="146">
        <v>5163.76611328125</v>
      </c>
      <c r="J19" s="146">
        <v>6185.6201171875</v>
      </c>
      <c r="K19" s="146">
        <v>5701.4248046875</v>
      </c>
      <c r="L19" s="146">
        <v>11887.044921875</v>
      </c>
      <c r="M19" s="146">
        <v>470190.75</v>
      </c>
      <c r="N19" s="146">
        <v>440454.5625</v>
      </c>
      <c r="O19" s="146">
        <v>386483.625</v>
      </c>
      <c r="P19" s="146">
        <v>826938.1875</v>
      </c>
      <c r="Q19" s="146">
        <v>9688.8134765625</v>
      </c>
      <c r="R19" s="146">
        <v>9215.416015625</v>
      </c>
      <c r="S19" s="146">
        <v>7640.68017578125</v>
      </c>
      <c r="T19" s="146">
        <v>16856.09765625</v>
      </c>
      <c r="U19" s="146">
        <v>864647.8125</v>
      </c>
      <c r="V19" s="146">
        <v>629036.625</v>
      </c>
      <c r="W19" s="146">
        <v>511338.28125</v>
      </c>
      <c r="X19" s="146">
        <v>1140375</v>
      </c>
      <c r="Y19" s="146">
        <v>2200.4140625</v>
      </c>
      <c r="Z19" s="146">
        <v>212967.359375</v>
      </c>
      <c r="AA19">
        <v>53.100059509277344</v>
      </c>
      <c r="AB19">
        <v>37.465423583984375</v>
      </c>
      <c r="AC19">
        <v>36.305721282958984</v>
      </c>
      <c r="AD19">
        <v>73.771156311035156</v>
      </c>
      <c r="AE19">
        <v>4942.4697265625</v>
      </c>
      <c r="AF19">
        <v>4113.16650390625</v>
      </c>
      <c r="AG19">
        <v>4858.02197265625</v>
      </c>
      <c r="AH19">
        <v>8971.1845703125</v>
      </c>
    </row>
    <row r="20" spans="1:34">
      <c r="A20" s="146" t="s">
        <v>239</v>
      </c>
      <c r="B20" s="146" t="s">
        <v>83</v>
      </c>
      <c r="C20" s="146">
        <v>1019.662</v>
      </c>
      <c r="D20" s="146">
        <v>999.03499999999997</v>
      </c>
      <c r="E20" s="146">
        <v>2018.697021484375</v>
      </c>
      <c r="F20" s="146">
        <v>5718.98779296875</v>
      </c>
      <c r="G20" s="146">
        <v>5811.58935546875</v>
      </c>
      <c r="H20" s="146">
        <v>11530.5771484375</v>
      </c>
      <c r="I20" s="146">
        <v>1979.5882568359375</v>
      </c>
      <c r="J20" s="146">
        <v>3393.334716796875</v>
      </c>
      <c r="K20" s="146">
        <v>2653.009765625</v>
      </c>
      <c r="L20" s="146">
        <v>6046.34423828125</v>
      </c>
      <c r="M20" s="146">
        <v>185672.578125</v>
      </c>
      <c r="N20" s="146">
        <v>226398.828125</v>
      </c>
      <c r="O20" s="146">
        <v>175422.59375</v>
      </c>
      <c r="P20" s="146">
        <v>401821.375</v>
      </c>
      <c r="Q20" s="146">
        <v>4023.535400390625</v>
      </c>
      <c r="R20" s="146">
        <v>4289.111328125</v>
      </c>
      <c r="S20" s="146">
        <v>3666.92724609375</v>
      </c>
      <c r="T20" s="146">
        <v>7956.03857421875</v>
      </c>
      <c r="U20" s="146">
        <v>360371.34375</v>
      </c>
      <c r="V20" s="146">
        <v>285186.875</v>
      </c>
      <c r="W20" s="146">
        <v>234866.390625</v>
      </c>
      <c r="X20" s="146">
        <v>520053.28125</v>
      </c>
      <c r="Y20" s="146">
        <v>1661.6314697265625</v>
      </c>
      <c r="Z20" s="146">
        <v>150904.515625</v>
      </c>
      <c r="AA20">
        <v>10.557689666748047</v>
      </c>
      <c r="AB20">
        <v>8.7376518249511719</v>
      </c>
      <c r="AC20">
        <v>7.382136344909668</v>
      </c>
      <c r="AD20">
        <v>16.119789123535156</v>
      </c>
      <c r="AE20">
        <v>1951.3948974609375</v>
      </c>
      <c r="AF20">
        <v>3893.794677734375</v>
      </c>
      <c r="AG20">
        <v>4741.9462890625</v>
      </c>
      <c r="AH20">
        <v>8635.7421875</v>
      </c>
    </row>
    <row r="21" spans="1:34">
      <c r="A21" s="146" t="s">
        <v>257</v>
      </c>
      <c r="B21" s="146" t="s">
        <v>103</v>
      </c>
      <c r="C21" s="146">
        <v>26.652000000000001</v>
      </c>
      <c r="D21" s="146">
        <v>25.927</v>
      </c>
      <c r="E21" s="146">
        <v>52.578998565673828</v>
      </c>
      <c r="F21" s="146">
        <v>276.0360107421875</v>
      </c>
      <c r="G21" s="146">
        <v>273.89996337890625</v>
      </c>
      <c r="H21" s="146">
        <v>549.93597412109375</v>
      </c>
      <c r="I21" s="146">
        <v>5.2191224098205566</v>
      </c>
      <c r="J21" s="146">
        <v>21.702899932861328</v>
      </c>
      <c r="K21" s="146">
        <v>19.489931106567383</v>
      </c>
      <c r="L21" s="146">
        <v>41.192832946777344</v>
      </c>
      <c r="M21" s="146">
        <v>592.68499755859375</v>
      </c>
      <c r="N21" s="146">
        <v>1407.8427734375</v>
      </c>
      <c r="O21" s="146">
        <v>1162.9141845703125</v>
      </c>
      <c r="P21" s="146">
        <v>2570.757080078125</v>
      </c>
      <c r="Q21" s="146">
        <v>17.793048858642578</v>
      </c>
      <c r="R21" s="146">
        <v>131.90817260742188</v>
      </c>
      <c r="S21" s="146">
        <v>104.39044952392578</v>
      </c>
      <c r="T21" s="146">
        <v>236.29861450195313</v>
      </c>
      <c r="U21" s="146">
        <v>1654.709716796875</v>
      </c>
      <c r="V21" s="146">
        <v>3991.364990234375</v>
      </c>
      <c r="W21" s="146">
        <v>2610.984619140625</v>
      </c>
      <c r="X21" s="146">
        <v>6602.35009765625</v>
      </c>
      <c r="Y21" s="146">
        <v>1.5780669450759888</v>
      </c>
      <c r="Z21" s="146">
        <v>157.42832946777344</v>
      </c>
      <c r="AA21">
        <v>1.0538681410253048E-2</v>
      </c>
      <c r="AB21">
        <v>1.953875832259655E-2</v>
      </c>
      <c r="AC21">
        <v>1.9389254972338676E-2</v>
      </c>
      <c r="AD21">
        <v>3.8928017020225525E-2</v>
      </c>
      <c r="AE21">
        <v>2.8413956165313721</v>
      </c>
      <c r="AF21">
        <v>8.2224197387695313</v>
      </c>
      <c r="AG21">
        <v>29.565086364746094</v>
      </c>
      <c r="AH21">
        <v>37.787517547607422</v>
      </c>
    </row>
    <row r="22" spans="1:34">
      <c r="A22" s="146" t="s">
        <v>290</v>
      </c>
      <c r="B22" s="146" t="s">
        <v>136</v>
      </c>
      <c r="C22" s="146">
        <v>906.96199999999999</v>
      </c>
      <c r="D22" s="146">
        <v>873.48400000000004</v>
      </c>
      <c r="E22" s="146">
        <v>1780.446044921875</v>
      </c>
      <c r="F22" s="146">
        <v>8047.36376953125</v>
      </c>
      <c r="G22" s="146">
        <v>8439.1787109375</v>
      </c>
      <c r="H22" s="146">
        <v>16486.54296875</v>
      </c>
      <c r="I22" s="146">
        <v>646.95916748046875</v>
      </c>
      <c r="J22" s="146">
        <v>1072.5625</v>
      </c>
      <c r="K22" s="146">
        <v>1075.575439453125</v>
      </c>
      <c r="L22" s="146">
        <v>2148.138427734375</v>
      </c>
      <c r="M22" s="146">
        <v>63202.17578125</v>
      </c>
      <c r="N22" s="146">
        <v>68476.8359375</v>
      </c>
      <c r="O22" s="146">
        <v>58542.87109375</v>
      </c>
      <c r="P22" s="146">
        <v>127019.703125</v>
      </c>
      <c r="Q22" s="146">
        <v>1202.0499267578125</v>
      </c>
      <c r="R22" s="146">
        <v>4459.77197265625</v>
      </c>
      <c r="S22" s="146">
        <v>4347.57568359375</v>
      </c>
      <c r="T22" s="146">
        <v>8807.34765625</v>
      </c>
      <c r="U22" s="146">
        <v>110289.6953125</v>
      </c>
      <c r="V22" s="146">
        <v>176657.75</v>
      </c>
      <c r="W22" s="146">
        <v>145104.921875</v>
      </c>
      <c r="X22" s="146">
        <v>321762.6875</v>
      </c>
      <c r="Y22" s="146">
        <v>110.95648193359375</v>
      </c>
      <c r="Z22" s="146">
        <v>14464.0830078125</v>
      </c>
      <c r="AA22">
        <v>1.6730655431747437</v>
      </c>
      <c r="AB22">
        <v>2.7257857322692871</v>
      </c>
      <c r="AC22">
        <v>2.2107136249542236</v>
      </c>
      <c r="AD22">
        <v>4.936500072479248</v>
      </c>
      <c r="AE22">
        <v>272.05804443359375</v>
      </c>
      <c r="AF22">
        <v>703.280029296875</v>
      </c>
      <c r="AG22">
        <v>2118.9736328125</v>
      </c>
      <c r="AH22">
        <v>2822.25341796875</v>
      </c>
    </row>
    <row r="23" spans="1:34">
      <c r="A23" s="146" t="s">
        <v>252</v>
      </c>
      <c r="B23" s="146" t="s">
        <v>98</v>
      </c>
      <c r="C23" s="146">
        <v>2049.0909999999999</v>
      </c>
      <c r="D23" s="146">
        <v>2009.4490000000001</v>
      </c>
      <c r="E23" s="146">
        <v>4058.5400390625</v>
      </c>
      <c r="F23" s="146">
        <v>12939.927734375</v>
      </c>
      <c r="G23" s="146">
        <v>12936.4599609375</v>
      </c>
      <c r="H23" s="146">
        <v>25876.38671875</v>
      </c>
      <c r="I23" s="146">
        <v>5576.66357421875</v>
      </c>
      <c r="J23" s="146">
        <v>6506.279296875</v>
      </c>
      <c r="K23" s="146">
        <v>5342.47705078125</v>
      </c>
      <c r="L23" s="146">
        <v>11848.7578125</v>
      </c>
      <c r="M23" s="146">
        <v>512955.6875</v>
      </c>
      <c r="N23" s="146">
        <v>482852.28125</v>
      </c>
      <c r="O23" s="146">
        <v>389396.5</v>
      </c>
      <c r="P23" s="146">
        <v>872248.9375</v>
      </c>
      <c r="Q23" s="146">
        <v>9489.3828125</v>
      </c>
      <c r="R23" s="146">
        <v>11055.875</v>
      </c>
      <c r="S23" s="146">
        <v>8657.5224609375</v>
      </c>
      <c r="T23" s="146">
        <v>19713.40234375</v>
      </c>
      <c r="U23" s="146">
        <v>849716.9375</v>
      </c>
      <c r="V23" s="146">
        <v>703520.125</v>
      </c>
      <c r="W23" s="146">
        <v>549000.5</v>
      </c>
      <c r="X23" s="146">
        <v>1252520.625</v>
      </c>
      <c r="Y23" s="146">
        <v>740.13531494140625</v>
      </c>
      <c r="Z23" s="146">
        <v>71075.7109375</v>
      </c>
      <c r="AA23">
        <v>16.788537979125977</v>
      </c>
      <c r="AB23">
        <v>17.434423446655273</v>
      </c>
      <c r="AC23">
        <v>12.695556640625</v>
      </c>
      <c r="AD23">
        <v>30.129976272583008</v>
      </c>
      <c r="AE23">
        <v>2693.576416015625</v>
      </c>
      <c r="AF23">
        <v>7448.068359375</v>
      </c>
      <c r="AG23">
        <v>8440.6044921875</v>
      </c>
      <c r="AH23">
        <v>15888.673828125</v>
      </c>
    </row>
    <row r="24" spans="1:34">
      <c r="A24" s="146" t="s">
        <v>250</v>
      </c>
      <c r="B24" s="146" t="s">
        <v>95</v>
      </c>
      <c r="C24" s="146">
        <v>368.31099999999998</v>
      </c>
      <c r="D24" s="146">
        <v>362.54599999999999</v>
      </c>
      <c r="E24" s="146">
        <v>730.85699462890625</v>
      </c>
      <c r="F24" s="146">
        <v>2351.97314453125</v>
      </c>
      <c r="G24" s="146">
        <v>2393.205810546875</v>
      </c>
      <c r="H24" s="146">
        <v>4745.1787109375</v>
      </c>
      <c r="I24" s="146">
        <v>1381.76123046875</v>
      </c>
      <c r="J24" s="146">
        <v>2585.247802734375</v>
      </c>
      <c r="K24" s="146">
        <v>2098.58154296875</v>
      </c>
      <c r="L24" s="146">
        <v>4683.8291015625</v>
      </c>
      <c r="M24" s="146">
        <v>126237.09375</v>
      </c>
      <c r="N24" s="146">
        <v>140494.9375</v>
      </c>
      <c r="O24" s="146">
        <v>104724.484375</v>
      </c>
      <c r="P24" s="146">
        <v>245219.375</v>
      </c>
      <c r="Q24" s="146">
        <v>2630.35400390625</v>
      </c>
      <c r="R24" s="146">
        <v>3017.375244140625</v>
      </c>
      <c r="S24" s="146">
        <v>2244.4599609375</v>
      </c>
      <c r="T24" s="146">
        <v>5261.8349609375</v>
      </c>
      <c r="U24" s="146">
        <v>236039.546875</v>
      </c>
      <c r="V24" s="146">
        <v>191759.828125</v>
      </c>
      <c r="W24" s="146">
        <v>137074.859375</v>
      </c>
      <c r="X24" s="146">
        <v>328834.625</v>
      </c>
      <c r="Y24" s="146">
        <v>263.86270141601563</v>
      </c>
      <c r="Z24" s="146">
        <v>24981.2578125</v>
      </c>
      <c r="AA24">
        <v>2.2163486480712891</v>
      </c>
      <c r="AB24">
        <v>2.6814815998077393</v>
      </c>
      <c r="AC24">
        <v>2.0975110530853271</v>
      </c>
      <c r="AD24">
        <v>4.7789921760559082</v>
      </c>
      <c r="AE24">
        <v>442.4013671875</v>
      </c>
      <c r="AF24">
        <v>1131.2352294921875</v>
      </c>
      <c r="AG24">
        <v>1631.6341552734375</v>
      </c>
      <c r="AH24">
        <v>2762.86865234375</v>
      </c>
    </row>
    <row r="25" spans="1:34">
      <c r="A25" s="146" t="s">
        <v>341</v>
      </c>
      <c r="B25" s="146" t="s">
        <v>187</v>
      </c>
      <c r="C25" s="146">
        <v>1445.7339999999999</v>
      </c>
      <c r="D25" s="146">
        <v>1425.9929999999999</v>
      </c>
      <c r="E25" s="146">
        <v>2871.72705078125</v>
      </c>
      <c r="F25" s="146">
        <v>7960.52197265625</v>
      </c>
      <c r="G25" s="146">
        <v>7986.3603515625</v>
      </c>
      <c r="H25" s="146">
        <v>15946.8828125</v>
      </c>
      <c r="I25" s="146">
        <v>8340.3310546875</v>
      </c>
      <c r="J25" s="146">
        <v>7988.72119140625</v>
      </c>
      <c r="K25" s="146">
        <v>6852.8603515625</v>
      </c>
      <c r="L25" s="146">
        <v>14841.578125</v>
      </c>
      <c r="M25" s="146">
        <v>752893</v>
      </c>
      <c r="N25" s="146">
        <v>583446.375</v>
      </c>
      <c r="O25" s="146">
        <v>494804.96875</v>
      </c>
      <c r="P25" s="146">
        <v>1078251.25</v>
      </c>
      <c r="Q25" s="146">
        <v>16933.841796875</v>
      </c>
      <c r="R25" s="146">
        <v>12615.99609375</v>
      </c>
      <c r="S25" s="146">
        <v>10649.556640625</v>
      </c>
      <c r="T25" s="146">
        <v>23265.55859375</v>
      </c>
      <c r="U25" s="146">
        <v>1504421.125</v>
      </c>
      <c r="V25" s="146">
        <v>952090.75</v>
      </c>
      <c r="W25" s="146">
        <v>800062.25</v>
      </c>
      <c r="X25" s="146">
        <v>1752153</v>
      </c>
      <c r="Y25" s="146">
        <v>1445.695068359375</v>
      </c>
      <c r="Z25" s="146">
        <v>141438.71875</v>
      </c>
      <c r="AA25">
        <v>44.550559997558594</v>
      </c>
      <c r="AB25">
        <v>35.927036285400391</v>
      </c>
      <c r="AC25">
        <v>36.070026397705078</v>
      </c>
      <c r="AD25">
        <v>71.997047424316406</v>
      </c>
      <c r="AE25">
        <v>6566.03857421875</v>
      </c>
      <c r="AF25">
        <v>13035.181640625</v>
      </c>
      <c r="AG25">
        <v>18173.984375</v>
      </c>
      <c r="AH25">
        <v>31209.162109375</v>
      </c>
    </row>
    <row r="26" spans="1:34">
      <c r="A26" s="146" t="s">
        <v>251</v>
      </c>
      <c r="B26" s="146" t="s">
        <v>96</v>
      </c>
      <c r="C26" s="146">
        <v>45106.267</v>
      </c>
      <c r="D26" s="146">
        <v>39934.767</v>
      </c>
      <c r="E26" s="146">
        <v>85041.03125</v>
      </c>
      <c r="F26" s="146">
        <v>735624.25</v>
      </c>
      <c r="G26" s="146">
        <v>698159.5625</v>
      </c>
      <c r="H26" s="146">
        <v>1433783.75</v>
      </c>
      <c r="I26" s="146">
        <v>4290.19482421875</v>
      </c>
      <c r="J26" s="146">
        <v>4697.52294921875</v>
      </c>
      <c r="K26" s="146">
        <v>4021.40869140625</v>
      </c>
      <c r="L26" s="146">
        <v>8718.9326171875</v>
      </c>
      <c r="M26" s="146">
        <v>528671.8125</v>
      </c>
      <c r="N26" s="146">
        <v>894564.1875</v>
      </c>
      <c r="O26" s="146">
        <v>739868</v>
      </c>
      <c r="P26" s="146">
        <v>1634432</v>
      </c>
      <c r="Q26" s="146">
        <v>18152.1875</v>
      </c>
      <c r="R26" s="146">
        <v>105990.4453125</v>
      </c>
      <c r="S26" s="146">
        <v>80029.6328125</v>
      </c>
      <c r="T26" s="146">
        <v>186020.0625</v>
      </c>
      <c r="U26" s="146">
        <v>1735668.5</v>
      </c>
      <c r="V26" s="146">
        <v>3193244.75</v>
      </c>
      <c r="W26" s="146">
        <v>2307987</v>
      </c>
      <c r="X26" s="146">
        <v>5501231</v>
      </c>
      <c r="Y26" s="146">
        <v>366.17849731445313</v>
      </c>
      <c r="Z26" s="146">
        <v>51708.8515625</v>
      </c>
      <c r="AA26">
        <v>2.7855017185211182</v>
      </c>
      <c r="AB26">
        <v>19.765796661376953</v>
      </c>
      <c r="AC26">
        <v>14.04163932800293</v>
      </c>
      <c r="AD26">
        <v>33.80743408203125</v>
      </c>
      <c r="AE26">
        <v>2988.974365234375</v>
      </c>
      <c r="AF26">
        <v>33725.1484375</v>
      </c>
      <c r="AG26">
        <v>39158.23046875</v>
      </c>
      <c r="AH26">
        <v>72883.359375</v>
      </c>
    </row>
    <row r="27" spans="1:34">
      <c r="A27" s="146" t="s">
        <v>255</v>
      </c>
      <c r="B27" s="146" t="s">
        <v>101</v>
      </c>
      <c r="C27" s="146">
        <v>1909.0340000000001</v>
      </c>
      <c r="D27" s="146">
        <v>1821.1869999999999</v>
      </c>
      <c r="E27" s="146">
        <v>3730.220947265625</v>
      </c>
      <c r="F27" s="146">
        <v>24713.19140625</v>
      </c>
      <c r="G27" s="146">
        <v>25626.25</v>
      </c>
      <c r="H27" s="146">
        <v>50339.44140625</v>
      </c>
      <c r="I27" s="146">
        <v>169.21788024902344</v>
      </c>
      <c r="J27" s="146">
        <v>338.79122924804688</v>
      </c>
      <c r="K27" s="146">
        <v>408.70416259765625</v>
      </c>
      <c r="L27" s="146">
        <v>747.49542236328125</v>
      </c>
      <c r="M27" s="146">
        <v>24411.033203125</v>
      </c>
      <c r="N27" s="146">
        <v>42686.8046875</v>
      </c>
      <c r="O27" s="146">
        <v>39905.44140625</v>
      </c>
      <c r="P27" s="146">
        <v>82592.2421875</v>
      </c>
      <c r="Q27" s="146">
        <v>1027.6475830078125</v>
      </c>
      <c r="R27" s="146">
        <v>5337.25341796875</v>
      </c>
      <c r="S27" s="146">
        <v>5470.27734375</v>
      </c>
      <c r="T27" s="146">
        <v>10807.5322265625</v>
      </c>
      <c r="U27" s="146">
        <v>99386.6484375</v>
      </c>
      <c r="V27" s="146">
        <v>176620.890625</v>
      </c>
      <c r="W27" s="146">
        <v>153688.953125</v>
      </c>
      <c r="X27" s="146">
        <v>330309.78125</v>
      </c>
      <c r="Y27" s="146">
        <v>354.57199096679688</v>
      </c>
      <c r="Z27" s="146">
        <v>31852.826171875</v>
      </c>
      <c r="AA27">
        <v>1.3841992616653442</v>
      </c>
      <c r="AB27">
        <v>2.4228248596191406</v>
      </c>
      <c r="AC27">
        <v>2.5861992835998535</v>
      </c>
      <c r="AD27">
        <v>5.0090246200561523</v>
      </c>
      <c r="AE27">
        <v>891.26043701171875</v>
      </c>
      <c r="AF27">
        <v>4614.982421875</v>
      </c>
      <c r="AG27">
        <v>5688.68017578125</v>
      </c>
      <c r="AH27">
        <v>10303.666015625</v>
      </c>
    </row>
    <row r="28" spans="1:34">
      <c r="A28" s="146" t="s">
        <v>256</v>
      </c>
      <c r="B28" s="146" t="s">
        <v>102</v>
      </c>
      <c r="C28" s="146">
        <v>62.396999999999998</v>
      </c>
      <c r="D28" s="146">
        <v>60.094999999999999</v>
      </c>
      <c r="E28" s="146">
        <v>122.49199676513672</v>
      </c>
      <c r="F28" s="146">
        <v>429.21002197265625</v>
      </c>
      <c r="G28" s="146">
        <v>421.68099975585938</v>
      </c>
      <c r="H28" s="146">
        <v>850.8909912109375</v>
      </c>
      <c r="I28" s="146">
        <v>156.19842529296875</v>
      </c>
      <c r="J28" s="146">
        <v>206.05661010742188</v>
      </c>
      <c r="K28" s="146">
        <v>157.19970703125</v>
      </c>
      <c r="L28" s="146">
        <v>363.25631713867188</v>
      </c>
      <c r="M28" s="146">
        <v>14330.52734375</v>
      </c>
      <c r="N28" s="146">
        <v>14025.7412109375</v>
      </c>
      <c r="O28" s="146">
        <v>10766.9541015625</v>
      </c>
      <c r="P28" s="146">
        <v>24792.69140625</v>
      </c>
      <c r="Q28" s="146">
        <v>322.38296508789063</v>
      </c>
      <c r="R28" s="146">
        <v>317.46826171875</v>
      </c>
      <c r="S28" s="146">
        <v>281.49685668945313</v>
      </c>
      <c r="T28" s="146">
        <v>598.9652099609375</v>
      </c>
      <c r="U28" s="146">
        <v>28858.193359375</v>
      </c>
      <c r="V28" s="146">
        <v>20988.205078125</v>
      </c>
      <c r="W28" s="146">
        <v>17807.220703125</v>
      </c>
      <c r="X28" s="146">
        <v>38795.421875</v>
      </c>
      <c r="Y28" s="146">
        <v>57.309951782226563</v>
      </c>
      <c r="Z28" s="146">
        <v>5433.64990234375</v>
      </c>
      <c r="AA28">
        <v>0.23323428630828857</v>
      </c>
      <c r="AB28">
        <v>0.18844880163669586</v>
      </c>
      <c r="AC28">
        <v>0.16333654522895813</v>
      </c>
      <c r="AD28">
        <v>0.35178536176681519</v>
      </c>
      <c r="AE28">
        <v>36.479389190673828</v>
      </c>
      <c r="AF28">
        <v>81.424835205078125</v>
      </c>
      <c r="AG28">
        <v>157.75698852539063</v>
      </c>
      <c r="AH28">
        <v>239.18180847167969</v>
      </c>
    </row>
    <row r="29" spans="1:34">
      <c r="A29" s="146" t="s">
        <v>254</v>
      </c>
      <c r="B29" s="146" t="s">
        <v>100</v>
      </c>
      <c r="C29" s="146">
        <v>410.798</v>
      </c>
      <c r="D29" s="146">
        <v>402.15300000000002</v>
      </c>
      <c r="E29" s="146">
        <v>812.95098876953125</v>
      </c>
      <c r="F29" s="146">
        <v>2687.357666015625</v>
      </c>
      <c r="G29" s="146">
        <v>2693.146240234375</v>
      </c>
      <c r="H29" s="146">
        <v>5380.50390625</v>
      </c>
      <c r="I29" s="146">
        <v>454.088623046875</v>
      </c>
      <c r="J29" s="146">
        <v>806.4329833984375</v>
      </c>
      <c r="K29" s="146">
        <v>497.74282836914063</v>
      </c>
      <c r="L29" s="146">
        <v>1304.1759033203125</v>
      </c>
      <c r="M29" s="146">
        <v>44068.13671875</v>
      </c>
      <c r="N29" s="146">
        <v>48948.08984375</v>
      </c>
      <c r="O29" s="146">
        <v>31386.703125</v>
      </c>
      <c r="P29" s="146">
        <v>80334.8046875</v>
      </c>
      <c r="Q29" s="146">
        <v>1128.1275634765625</v>
      </c>
      <c r="R29" s="146">
        <v>1354.3172607421875</v>
      </c>
      <c r="S29" s="146">
        <v>1229.1937255859375</v>
      </c>
      <c r="T29" s="146">
        <v>2583.51123046875</v>
      </c>
      <c r="U29" s="146">
        <v>102067.5</v>
      </c>
      <c r="V29" s="146">
        <v>82909.953125</v>
      </c>
      <c r="W29" s="146">
        <v>67122.8828125</v>
      </c>
      <c r="X29" s="146">
        <v>150032.828125</v>
      </c>
      <c r="Y29" s="146">
        <v>114.42795562744141</v>
      </c>
      <c r="Z29" s="146">
        <v>10848.9912109375</v>
      </c>
      <c r="AA29">
        <v>0.60257315635681152</v>
      </c>
      <c r="AB29">
        <v>0.61206638813018799</v>
      </c>
      <c r="AC29">
        <v>0.44296503067016602</v>
      </c>
      <c r="AD29">
        <v>1.055031418800354</v>
      </c>
      <c r="AE29">
        <v>134.75132751464844</v>
      </c>
      <c r="AF29">
        <v>388.0830078125</v>
      </c>
      <c r="AG29">
        <v>732.5252685546875</v>
      </c>
      <c r="AH29">
        <v>1120.6082763671875</v>
      </c>
    </row>
    <row r="30" spans="1:34">
      <c r="A30" s="146" t="s">
        <v>258</v>
      </c>
      <c r="B30" s="146" t="s">
        <v>104</v>
      </c>
      <c r="C30" s="146">
        <v>179.715</v>
      </c>
      <c r="D30" s="146">
        <v>171.453</v>
      </c>
      <c r="E30" s="146">
        <v>351.16799926757813</v>
      </c>
      <c r="F30" s="146">
        <v>2522.538818359375</v>
      </c>
      <c r="G30" s="146">
        <v>2525.021728515625</v>
      </c>
      <c r="H30" s="146">
        <v>5047.560546875</v>
      </c>
      <c r="I30" s="146">
        <v>4.3813433647155762</v>
      </c>
      <c r="J30" s="146">
        <v>33.854866027832031</v>
      </c>
      <c r="K30" s="146">
        <v>53.387599945068359</v>
      </c>
      <c r="L30" s="146">
        <v>87.242462158203125</v>
      </c>
      <c r="M30" s="146">
        <v>1209.826904296875</v>
      </c>
      <c r="N30" s="146">
        <v>3684.8681640625</v>
      </c>
      <c r="O30" s="146">
        <v>3618.65283203125</v>
      </c>
      <c r="P30" s="146">
        <v>7303.52197265625</v>
      </c>
      <c r="Q30" s="146">
        <v>24.898048400878906</v>
      </c>
      <c r="R30" s="146">
        <v>481.59872436523438</v>
      </c>
      <c r="S30" s="146">
        <v>356.9954833984375</v>
      </c>
      <c r="T30" s="146">
        <v>838.59417724609375</v>
      </c>
      <c r="U30" s="146">
        <v>2841.804931640625</v>
      </c>
      <c r="V30" s="146">
        <v>14211.244140625</v>
      </c>
      <c r="W30" s="146">
        <v>9742.234375</v>
      </c>
      <c r="X30" s="146">
        <v>23953.4765625</v>
      </c>
      <c r="Y30" s="146">
        <v>1.6658028364181519</v>
      </c>
      <c r="Z30" s="146">
        <v>178.41024780273438</v>
      </c>
      <c r="AA30">
        <v>4.7753263264894485E-2</v>
      </c>
      <c r="AB30">
        <v>2.4545194581151009E-2</v>
      </c>
      <c r="AC30">
        <v>2.3208068683743477E-2</v>
      </c>
      <c r="AD30">
        <v>4.7753263264894485E-2</v>
      </c>
      <c r="AE30">
        <v>38.759437561035156</v>
      </c>
      <c r="AF30">
        <v>248.66824340820313</v>
      </c>
      <c r="AG30">
        <v>420.0233154296875</v>
      </c>
      <c r="AH30">
        <v>668.69158935546875</v>
      </c>
    </row>
    <row r="31" spans="1:34">
      <c r="A31" s="315" t="s">
        <v>474</v>
      </c>
      <c r="B31" s="146" t="s">
        <v>97</v>
      </c>
      <c r="C31" s="146">
        <v>2037.6030000000001</v>
      </c>
      <c r="D31" s="146">
        <v>2012.684</v>
      </c>
      <c r="E31" s="146">
        <v>4050.287109375</v>
      </c>
      <c r="F31" s="146">
        <v>12974.2080078125</v>
      </c>
      <c r="G31" s="146">
        <v>12742.3466796875</v>
      </c>
      <c r="H31" s="146">
        <v>25716.5546875</v>
      </c>
      <c r="I31" s="146">
        <v>5568.39697265625</v>
      </c>
      <c r="J31" s="146">
        <v>6413.96875</v>
      </c>
      <c r="K31" s="146">
        <v>4842.533203125</v>
      </c>
      <c r="L31" s="146">
        <v>11256.501953125</v>
      </c>
      <c r="M31" s="146">
        <v>510050.28125</v>
      </c>
      <c r="N31" s="146">
        <v>472342</v>
      </c>
      <c r="O31" s="146">
        <v>370686.40625</v>
      </c>
      <c r="P31" s="146">
        <v>843028.3125</v>
      </c>
      <c r="Q31" s="146">
        <v>11147.3828125</v>
      </c>
      <c r="R31" s="146">
        <v>12842.314453125</v>
      </c>
      <c r="S31" s="146">
        <v>8516.8486328125</v>
      </c>
      <c r="T31" s="146">
        <v>21359.16015625</v>
      </c>
      <c r="U31" s="146">
        <v>997499.3125</v>
      </c>
      <c r="V31" s="146">
        <v>809216.6875</v>
      </c>
      <c r="W31" s="146">
        <v>585881.0625</v>
      </c>
      <c r="X31" s="146">
        <v>1395097.75</v>
      </c>
      <c r="Y31" s="146">
        <v>662.810791015625</v>
      </c>
      <c r="Z31" s="146">
        <v>67321.7265625</v>
      </c>
      <c r="AA31">
        <v>24.384239196777344</v>
      </c>
      <c r="AB31">
        <v>25.983972549438477</v>
      </c>
      <c r="AC31">
        <v>21.655248641967773</v>
      </c>
      <c r="AD31">
        <v>47.63922119140625</v>
      </c>
      <c r="AE31">
        <v>3054.7490234375</v>
      </c>
      <c r="AF31">
        <v>5842.623046875</v>
      </c>
      <c r="AG31">
        <v>7174.5224609375</v>
      </c>
      <c r="AH31">
        <v>13017.14453125</v>
      </c>
    </row>
    <row r="32" spans="1:34">
      <c r="A32" s="146" t="s">
        <v>259</v>
      </c>
      <c r="B32" s="146" t="s">
        <v>105</v>
      </c>
      <c r="C32" s="146">
        <v>301.76299999999998</v>
      </c>
      <c r="D32" s="146">
        <v>285.65699999999998</v>
      </c>
      <c r="E32" s="146">
        <v>587.41998291015625</v>
      </c>
      <c r="F32" s="146">
        <v>5627.927734375</v>
      </c>
      <c r="G32" s="146">
        <v>5705.5556640625</v>
      </c>
      <c r="H32" s="146">
        <v>11333.4833984375</v>
      </c>
      <c r="I32" s="146">
        <v>5.3360004425048828</v>
      </c>
      <c r="J32" s="146">
        <v>92.607650756835938</v>
      </c>
      <c r="K32" s="146">
        <v>113.59725189208984</v>
      </c>
      <c r="L32" s="146">
        <v>206.20487976074219</v>
      </c>
      <c r="M32" s="146">
        <v>1912.812255859375</v>
      </c>
      <c r="N32" s="146">
        <v>14722.2919921875</v>
      </c>
      <c r="O32" s="146">
        <v>12841.7392578125</v>
      </c>
      <c r="P32" s="146">
        <v>27564.03125</v>
      </c>
      <c r="Q32" s="146">
        <v>79.382957458496094</v>
      </c>
      <c r="R32" s="146">
        <v>4458.98046875</v>
      </c>
      <c r="S32" s="146">
        <v>4121.60693359375</v>
      </c>
      <c r="T32" s="146">
        <v>8580.587890625</v>
      </c>
      <c r="U32" s="146">
        <v>8091.75146484375</v>
      </c>
      <c r="V32" s="146">
        <v>78059.7109375</v>
      </c>
      <c r="W32" s="146">
        <v>64568.85546875</v>
      </c>
      <c r="X32" s="146">
        <v>142628.546875</v>
      </c>
      <c r="Y32" s="146">
        <v>2.3246159553527832</v>
      </c>
      <c r="Z32" s="146">
        <v>270.89218139648438</v>
      </c>
      <c r="AA32">
        <v>2.8236396610736847E-2</v>
      </c>
      <c r="AB32">
        <v>0.34745153784751892</v>
      </c>
      <c r="AC32">
        <v>0.37495827674865723</v>
      </c>
      <c r="AD32">
        <v>0.72240984439849854</v>
      </c>
      <c r="AE32">
        <v>41.953006744384766</v>
      </c>
      <c r="AF32">
        <v>368.78350830078125</v>
      </c>
      <c r="AG32">
        <v>574.11407470703125</v>
      </c>
      <c r="AH32">
        <v>942.89776611328125</v>
      </c>
    </row>
    <row r="33" spans="1:34">
      <c r="A33" s="146" t="s">
        <v>324</v>
      </c>
      <c r="B33" s="146" t="s">
        <v>170</v>
      </c>
      <c r="C33" s="146">
        <v>892.44299999999998</v>
      </c>
      <c r="D33" s="146">
        <v>851.01199999999994</v>
      </c>
      <c r="E33" s="146">
        <v>1743.4549560546875</v>
      </c>
      <c r="F33" s="146">
        <v>12552.7607421875</v>
      </c>
      <c r="G33" s="146">
        <v>13113.39453125</v>
      </c>
      <c r="H33" s="146">
        <v>25666.15625</v>
      </c>
      <c r="I33" s="146">
        <v>256.92984008789063</v>
      </c>
      <c r="J33" s="146">
        <v>202.76205444335938</v>
      </c>
      <c r="K33" s="146">
        <v>171.69956970214844</v>
      </c>
      <c r="L33" s="146">
        <v>374.46160888671875</v>
      </c>
      <c r="M33" s="146">
        <v>28705.7890625</v>
      </c>
      <c r="N33" s="146">
        <v>33198.76171875</v>
      </c>
      <c r="O33" s="146">
        <v>29194.3671875</v>
      </c>
      <c r="P33" s="146">
        <v>62393.125</v>
      </c>
      <c r="Q33" s="146">
        <v>737.44012451171875</v>
      </c>
      <c r="R33" s="146">
        <v>2658.157470703125</v>
      </c>
      <c r="S33" s="146">
        <v>3639.40283203125</v>
      </c>
      <c r="T33" s="146">
        <v>6297.56005859375</v>
      </c>
      <c r="U33" s="146">
        <v>68094.8359375</v>
      </c>
      <c r="V33" s="146">
        <v>103447.609375</v>
      </c>
      <c r="W33" s="146">
        <v>94856.796875</v>
      </c>
      <c r="X33" s="146">
        <v>198304.40625</v>
      </c>
      <c r="Y33" s="146">
        <v>45.177631378173828</v>
      </c>
      <c r="Z33" s="146">
        <v>8213.92578125</v>
      </c>
      <c r="AA33">
        <v>0.18331241607666016</v>
      </c>
      <c r="AB33">
        <v>0.45629012584686279</v>
      </c>
      <c r="AC33">
        <v>0.41944035887718201</v>
      </c>
      <c r="AD33">
        <v>0.87573057413101196</v>
      </c>
      <c r="AE33">
        <v>75.953407287597656</v>
      </c>
      <c r="AF33">
        <v>421.35897827148438</v>
      </c>
      <c r="AG33">
        <v>1693.370361328125</v>
      </c>
      <c r="AH33">
        <v>2114.729248046875</v>
      </c>
    </row>
    <row r="34" spans="1:34">
      <c r="A34" s="146" t="s">
        <v>253</v>
      </c>
      <c r="B34" s="146" t="s">
        <v>99</v>
      </c>
      <c r="C34" s="146">
        <v>7828.0870000000004</v>
      </c>
      <c r="D34" s="146">
        <v>7674.6750000000002</v>
      </c>
      <c r="E34" s="146">
        <v>15502.76171875</v>
      </c>
      <c r="F34" s="146">
        <v>43319.09765625</v>
      </c>
      <c r="G34" s="146">
        <v>43471.46875</v>
      </c>
      <c r="H34" s="146">
        <v>86790.5625</v>
      </c>
      <c r="I34" s="146">
        <v>22583.041015625</v>
      </c>
      <c r="J34" s="146">
        <v>25356.232421875</v>
      </c>
      <c r="K34" s="146">
        <v>15945.0361328125</v>
      </c>
      <c r="L34" s="146">
        <v>41301.26953125</v>
      </c>
      <c r="M34" s="146">
        <v>2077079.75</v>
      </c>
      <c r="N34" s="146">
        <v>1793270.5</v>
      </c>
      <c r="O34" s="146">
        <v>1188616.625</v>
      </c>
      <c r="P34" s="146">
        <v>2981887.75</v>
      </c>
      <c r="Q34" s="146">
        <v>38448.27734375</v>
      </c>
      <c r="R34" s="146">
        <v>42015.41015625</v>
      </c>
      <c r="S34" s="146">
        <v>31938.533203125</v>
      </c>
      <c r="T34" s="146">
        <v>73953.9453125</v>
      </c>
      <c r="U34" s="146">
        <v>3458970</v>
      </c>
      <c r="V34" s="146">
        <v>2701364.25</v>
      </c>
      <c r="W34" s="146">
        <v>2038830.625</v>
      </c>
      <c r="X34" s="146">
        <v>4740194.5</v>
      </c>
      <c r="Y34" s="146">
        <v>5496.662109375</v>
      </c>
      <c r="Z34" s="146">
        <v>537863.6875</v>
      </c>
      <c r="AA34">
        <v>39.815860748291016</v>
      </c>
      <c r="AB34">
        <v>45.818580627441406</v>
      </c>
      <c r="AC34">
        <v>33.913547515869141</v>
      </c>
      <c r="AD34">
        <v>79.732131958007813</v>
      </c>
      <c r="AE34">
        <v>15578.97265625</v>
      </c>
      <c r="AF34">
        <v>42704.7265625</v>
      </c>
      <c r="AG34">
        <v>54581.0703125</v>
      </c>
      <c r="AH34">
        <v>97285.8046875</v>
      </c>
    </row>
    <row r="35" spans="1:34">
      <c r="A35" s="146" t="s">
        <v>260</v>
      </c>
      <c r="B35" s="146" t="s">
        <v>106</v>
      </c>
      <c r="C35" s="146">
        <v>50.402000000000001</v>
      </c>
      <c r="D35" s="146">
        <v>49.661000000000001</v>
      </c>
      <c r="E35" s="146">
        <v>100.06300354003906</v>
      </c>
      <c r="F35" s="146">
        <v>511.94699096679688</v>
      </c>
      <c r="G35" s="146">
        <v>461.6099853515625</v>
      </c>
      <c r="H35" s="146">
        <v>973.5570068359375</v>
      </c>
      <c r="I35" s="146">
        <v>72.086181640625</v>
      </c>
      <c r="J35" s="146">
        <v>211.85118103027344</v>
      </c>
      <c r="K35" s="146">
        <v>152.63365173339844</v>
      </c>
      <c r="L35" s="146">
        <v>364.48483276367188</v>
      </c>
      <c r="M35" s="146">
        <v>6769.62451171875</v>
      </c>
      <c r="N35" s="146">
        <v>11320.5615234375</v>
      </c>
      <c r="O35" s="146">
        <v>8326.7431640625</v>
      </c>
      <c r="P35" s="146">
        <v>19647.3046875</v>
      </c>
      <c r="Q35" s="146">
        <v>181.12165832519531</v>
      </c>
      <c r="R35" s="146">
        <v>380.938720703125</v>
      </c>
      <c r="S35" s="146">
        <v>293.93118286132813</v>
      </c>
      <c r="T35" s="146">
        <v>674.869873046875</v>
      </c>
      <c r="U35" s="146">
        <v>16304.728515625</v>
      </c>
      <c r="V35" s="146">
        <v>17801.8828125</v>
      </c>
      <c r="W35" s="146">
        <v>14070.4052734375</v>
      </c>
      <c r="X35" s="146">
        <v>31872.2890625</v>
      </c>
      <c r="Y35" s="146">
        <v>39.229888916015625</v>
      </c>
      <c r="Z35" s="146">
        <v>4097.18994140625</v>
      </c>
      <c r="AA35">
        <v>0.14168426394462585</v>
      </c>
      <c r="AB35">
        <v>0.22141836583614349</v>
      </c>
      <c r="AC35">
        <v>0.18780475854873657</v>
      </c>
      <c r="AD35">
        <v>0.40922307968139648</v>
      </c>
      <c r="AE35">
        <v>14.582154273986816</v>
      </c>
      <c r="AF35">
        <v>25.769115447998047</v>
      </c>
      <c r="AG35">
        <v>60.13104248046875</v>
      </c>
      <c r="AH35">
        <v>85.900169372558594</v>
      </c>
    </row>
    <row r="36" spans="1:34">
      <c r="A36" s="146" t="s">
        <v>261</v>
      </c>
      <c r="B36" s="146" t="s">
        <v>107</v>
      </c>
      <c r="C36" s="146">
        <v>513.65800000000002</v>
      </c>
      <c r="D36" s="146">
        <v>492.887</v>
      </c>
      <c r="E36" s="146">
        <v>1006.5449829101563</v>
      </c>
      <c r="F36" s="146">
        <v>5366.19873046875</v>
      </c>
      <c r="G36" s="146">
        <v>5372.7587890625</v>
      </c>
      <c r="H36" s="146">
        <v>10738.95703125</v>
      </c>
      <c r="I36" s="146">
        <v>195.94023132324219</v>
      </c>
      <c r="J36" s="146">
        <v>268.56057739257813</v>
      </c>
      <c r="K36" s="146">
        <v>235.68936157226563</v>
      </c>
      <c r="L36" s="146">
        <v>504.24993896484375</v>
      </c>
      <c r="M36" s="146">
        <v>21552.62890625</v>
      </c>
      <c r="N36" s="146">
        <v>23715.794921875</v>
      </c>
      <c r="O36" s="146">
        <v>20218.40234375</v>
      </c>
      <c r="P36" s="146">
        <v>43934.1953125</v>
      </c>
      <c r="Q36" s="146">
        <v>550.40557861328125</v>
      </c>
      <c r="R36" s="146">
        <v>1149.042236328125</v>
      </c>
      <c r="S36" s="146">
        <v>1106.358154296875</v>
      </c>
      <c r="T36" s="146">
        <v>2255.400634765625</v>
      </c>
      <c r="U36" s="146">
        <v>50679.71484375</v>
      </c>
      <c r="V36" s="146">
        <v>51603.203125</v>
      </c>
      <c r="W36" s="146">
        <v>41872.44140625</v>
      </c>
      <c r="X36" s="146">
        <v>93475.640625</v>
      </c>
      <c r="Y36" s="146">
        <v>64.927528381347656</v>
      </c>
      <c r="Z36" s="146">
        <v>5889.68701171875</v>
      </c>
      <c r="AA36">
        <v>0.19022858142852783</v>
      </c>
      <c r="AB36">
        <v>0.33805343508720398</v>
      </c>
      <c r="AC36">
        <v>0.31173178553581238</v>
      </c>
      <c r="AD36">
        <v>0.64978522062301636</v>
      </c>
      <c r="AE36">
        <v>22.187595367431641</v>
      </c>
      <c r="AF36">
        <v>49.924705505371094</v>
      </c>
      <c r="AG36">
        <v>253.456298828125</v>
      </c>
      <c r="AH36">
        <v>303.38101196289063</v>
      </c>
    </row>
    <row r="37" spans="1:34">
      <c r="A37" s="146" t="s">
        <v>263</v>
      </c>
      <c r="B37" s="146" t="s">
        <v>109</v>
      </c>
      <c r="C37" s="146">
        <v>850.01</v>
      </c>
      <c r="D37" s="146">
        <v>812.46</v>
      </c>
      <c r="E37" s="146">
        <v>1662.469970703125</v>
      </c>
      <c r="F37" s="146">
        <v>8690.4873046875</v>
      </c>
      <c r="G37" s="146">
        <v>8683.169921875</v>
      </c>
      <c r="H37" s="146">
        <v>17373.65625</v>
      </c>
      <c r="I37" s="146">
        <v>75.39459228515625</v>
      </c>
      <c r="J37" s="146">
        <v>171.256103515625</v>
      </c>
      <c r="K37" s="146">
        <v>239.16233825683594</v>
      </c>
      <c r="L37" s="146">
        <v>410.41839599609375</v>
      </c>
      <c r="M37" s="146">
        <v>11128.49609375</v>
      </c>
      <c r="N37" s="146">
        <v>20161.849609375</v>
      </c>
      <c r="O37" s="146">
        <v>20632.509765625</v>
      </c>
      <c r="P37" s="146">
        <v>40794.359375</v>
      </c>
      <c r="Q37" s="146">
        <v>569.080810546875</v>
      </c>
      <c r="R37" s="146">
        <v>2584.35888671875</v>
      </c>
      <c r="S37" s="146">
        <v>2506.800048828125</v>
      </c>
      <c r="T37" s="146">
        <v>5091.1591796875</v>
      </c>
      <c r="U37" s="146">
        <v>53755.37109375</v>
      </c>
      <c r="V37" s="146">
        <v>84174.0625</v>
      </c>
      <c r="W37" s="146">
        <v>69154.703125</v>
      </c>
      <c r="X37" s="146">
        <v>153328.734375</v>
      </c>
      <c r="Y37" s="146">
        <v>30.220737457275391</v>
      </c>
      <c r="Z37" s="146">
        <v>2923.947509765625</v>
      </c>
      <c r="AA37">
        <v>0.30599495768547058</v>
      </c>
      <c r="AB37">
        <v>0.99530488252639771</v>
      </c>
      <c r="AC37">
        <v>0.83711975812911987</v>
      </c>
      <c r="AD37">
        <v>1.8324247598648071</v>
      </c>
      <c r="AE37">
        <v>372.23031616210938</v>
      </c>
      <c r="AF37">
        <v>1975.805908203125</v>
      </c>
      <c r="AG37">
        <v>2103.484375</v>
      </c>
      <c r="AH37">
        <v>4079.289794921875</v>
      </c>
    </row>
    <row r="38" spans="1:34">
      <c r="A38" s="146" t="s">
        <v>264</v>
      </c>
      <c r="B38" s="146" t="s">
        <v>110</v>
      </c>
      <c r="C38" s="146">
        <v>6586.8850000000002</v>
      </c>
      <c r="D38" s="146">
        <v>6216.9319999999998</v>
      </c>
      <c r="E38" s="146">
        <v>12803.8173828125</v>
      </c>
      <c r="F38" s="146">
        <v>50722.59375</v>
      </c>
      <c r="G38" s="146">
        <v>49665.47265625</v>
      </c>
      <c r="H38" s="146">
        <v>100388.0625</v>
      </c>
      <c r="I38" s="146">
        <v>2602.513427734375</v>
      </c>
      <c r="J38" s="146">
        <v>1932.72021484375</v>
      </c>
      <c r="K38" s="146">
        <v>1759.2271728515625</v>
      </c>
      <c r="L38" s="146">
        <v>3691.947265625</v>
      </c>
      <c r="M38" s="146">
        <v>285607.0625</v>
      </c>
      <c r="N38" s="146">
        <v>238176.234375</v>
      </c>
      <c r="O38" s="146">
        <v>217950.25</v>
      </c>
      <c r="P38" s="146">
        <v>456126.5</v>
      </c>
      <c r="Q38" s="146">
        <v>5761.1728515625</v>
      </c>
      <c r="R38" s="146">
        <v>11436.4560546875</v>
      </c>
      <c r="S38" s="146">
        <v>9263.365234375</v>
      </c>
      <c r="T38" s="146">
        <v>20699.8203125</v>
      </c>
      <c r="U38" s="146">
        <v>531151.375</v>
      </c>
      <c r="V38" s="146">
        <v>618930</v>
      </c>
      <c r="W38" s="146">
        <v>486848.65625</v>
      </c>
      <c r="X38" s="146">
        <v>1105778.625</v>
      </c>
      <c r="Y38" s="146">
        <v>199.28421020507813</v>
      </c>
      <c r="Z38" s="146">
        <v>37473.484375</v>
      </c>
      <c r="AA38">
        <v>2.3465697765350342</v>
      </c>
      <c r="AB38">
        <v>3.0325906276702881</v>
      </c>
      <c r="AC38">
        <v>2.5958964824676514</v>
      </c>
      <c r="AD38">
        <v>5.6284875869750977</v>
      </c>
      <c r="AE38">
        <v>509.72293090820313</v>
      </c>
      <c r="AF38">
        <v>1409.0848388671875</v>
      </c>
      <c r="AG38">
        <v>2054.952392578125</v>
      </c>
      <c r="AH38">
        <v>3464.037841796875</v>
      </c>
    </row>
    <row r="39" spans="1:34">
      <c r="A39" s="146" t="s">
        <v>333</v>
      </c>
      <c r="B39" s="146" t="s">
        <v>179</v>
      </c>
      <c r="C39" s="146">
        <v>295.51</v>
      </c>
      <c r="D39" s="146">
        <v>282.05399999999997</v>
      </c>
      <c r="E39" s="146">
        <v>577.56402587890625</v>
      </c>
      <c r="F39" s="146">
        <v>3023.35302734375</v>
      </c>
      <c r="G39" s="146">
        <v>3430.197021484375</v>
      </c>
      <c r="H39" s="146">
        <v>6453.5498046875</v>
      </c>
      <c r="I39" s="146">
        <v>92.579833984375</v>
      </c>
      <c r="J39" s="146">
        <v>103.55755615234375</v>
      </c>
      <c r="K39" s="146">
        <v>95.325599670410156</v>
      </c>
      <c r="L39" s="146">
        <v>198.88316345214844</v>
      </c>
      <c r="M39" s="146">
        <v>10165.3662109375</v>
      </c>
      <c r="N39" s="146">
        <v>10282.8544921875</v>
      </c>
      <c r="O39" s="146">
        <v>9491.6318359375</v>
      </c>
      <c r="P39" s="146">
        <v>19774.48828125</v>
      </c>
      <c r="Q39" s="146">
        <v>184.45571899414063</v>
      </c>
      <c r="R39" s="146">
        <v>1413.909423828125</v>
      </c>
      <c r="S39" s="146">
        <v>1012.600341796875</v>
      </c>
      <c r="T39" s="146">
        <v>2426.510009765625</v>
      </c>
      <c r="U39" s="146">
        <v>17489.5390625</v>
      </c>
      <c r="V39" s="146">
        <v>33951.03125</v>
      </c>
      <c r="W39" s="146">
        <v>26006.35546875</v>
      </c>
      <c r="X39" s="146">
        <v>59957.390625</v>
      </c>
      <c r="Y39" s="146">
        <v>14.554193496704102</v>
      </c>
      <c r="Z39" s="146">
        <v>1341.9208984375</v>
      </c>
      <c r="AA39">
        <v>0.1126692146062851</v>
      </c>
      <c r="AB39">
        <v>6.4484216272830963E-2</v>
      </c>
      <c r="AC39">
        <v>4.8184998333454132E-2</v>
      </c>
      <c r="AD39">
        <v>0.1126692146062851</v>
      </c>
      <c r="AE39">
        <v>86.328369140625</v>
      </c>
      <c r="AF39">
        <v>494.001220703125</v>
      </c>
      <c r="AG39">
        <v>838.739501953125</v>
      </c>
      <c r="AH39">
        <v>1332.740966796875</v>
      </c>
    </row>
    <row r="40" spans="1:34">
      <c r="A40" s="146" t="s">
        <v>275</v>
      </c>
      <c r="B40" s="146" t="s">
        <v>121</v>
      </c>
      <c r="C40" s="146">
        <v>98.695999999999998</v>
      </c>
      <c r="D40" s="146">
        <v>96.429000000000002</v>
      </c>
      <c r="E40" s="146">
        <v>195.125</v>
      </c>
      <c r="F40" s="146">
        <v>753.82305908203125</v>
      </c>
      <c r="G40" s="146">
        <v>602.158935546875</v>
      </c>
      <c r="H40" s="146">
        <v>1355.98193359375</v>
      </c>
      <c r="I40" s="146">
        <v>205.74276733398438</v>
      </c>
      <c r="J40" s="146">
        <v>197.3541259765625</v>
      </c>
      <c r="K40" s="146">
        <v>151.48536682128906</v>
      </c>
      <c r="L40" s="146">
        <v>348.83956909179688</v>
      </c>
      <c r="M40" s="146">
        <v>18909.666015625</v>
      </c>
      <c r="N40" s="146">
        <v>15287.6103515625</v>
      </c>
      <c r="O40" s="146">
        <v>11878.6611328125</v>
      </c>
      <c r="P40" s="146">
        <v>27166.2734375</v>
      </c>
      <c r="Q40" s="146">
        <v>502.31515502929688</v>
      </c>
      <c r="R40" s="146">
        <v>487.7144775390625</v>
      </c>
      <c r="S40" s="146">
        <v>426.75869750976563</v>
      </c>
      <c r="T40" s="146">
        <v>914.47314453125</v>
      </c>
      <c r="U40" s="146">
        <v>45249.05078125</v>
      </c>
      <c r="V40" s="146">
        <v>33259.31640625</v>
      </c>
      <c r="W40" s="146">
        <v>28570.001953125</v>
      </c>
      <c r="X40" s="146">
        <v>61829.328125</v>
      </c>
      <c r="Y40" s="146">
        <v>20.451814651489258</v>
      </c>
      <c r="Z40" s="146">
        <v>2112.03125</v>
      </c>
      <c r="AA40">
        <v>7.6683253049850464E-2</v>
      </c>
      <c r="AB40">
        <v>0.13898938894271851</v>
      </c>
      <c r="AC40">
        <v>0.12570016086101532</v>
      </c>
      <c r="AD40">
        <v>0.26468953490257263</v>
      </c>
      <c r="AE40">
        <v>48.158035278320313</v>
      </c>
      <c r="AF40">
        <v>278.67987060546875</v>
      </c>
      <c r="AG40">
        <v>257.46038818359375</v>
      </c>
      <c r="AH40">
        <v>536.1402587890625</v>
      </c>
    </row>
    <row r="41" spans="1:34">
      <c r="A41" s="146" t="s">
        <v>265</v>
      </c>
      <c r="B41" s="146" t="s">
        <v>111</v>
      </c>
      <c r="C41" s="146">
        <v>250.65700000000001</v>
      </c>
      <c r="D41" s="146">
        <v>240.02799999999999</v>
      </c>
      <c r="E41" s="146">
        <v>490.68499755859375</v>
      </c>
      <c r="F41" s="146">
        <v>1752.711181640625</v>
      </c>
      <c r="G41" s="146">
        <v>1744.4061279296875</v>
      </c>
      <c r="H41" s="146">
        <v>3497.1171875</v>
      </c>
      <c r="I41" s="146">
        <v>349.65469360351563</v>
      </c>
      <c r="J41" s="146">
        <v>1468.179931640625</v>
      </c>
      <c r="K41" s="146">
        <v>823.9141845703125</v>
      </c>
      <c r="L41" s="146">
        <v>2292.093994140625</v>
      </c>
      <c r="M41" s="146">
        <v>33236.66796875</v>
      </c>
      <c r="N41" s="146">
        <v>68398.234375</v>
      </c>
      <c r="O41" s="146">
        <v>37333.453125</v>
      </c>
      <c r="P41" s="146">
        <v>105731.6953125</v>
      </c>
      <c r="Q41" s="146">
        <v>596.98065185546875</v>
      </c>
      <c r="R41" s="146">
        <v>1962.8726806640625</v>
      </c>
      <c r="S41" s="146">
        <v>1333.3800048828125</v>
      </c>
      <c r="T41" s="146">
        <v>3296.253173828125</v>
      </c>
      <c r="U41" s="146">
        <v>53922.5</v>
      </c>
      <c r="V41" s="146">
        <v>80345.75</v>
      </c>
      <c r="W41" s="146">
        <v>51035.15625</v>
      </c>
      <c r="X41" s="146">
        <v>131380.90625</v>
      </c>
      <c r="Y41" s="146">
        <v>238.67633056640625</v>
      </c>
      <c r="Z41" s="146">
        <v>22798.98828125</v>
      </c>
      <c r="AA41">
        <v>1.1008884906768799</v>
      </c>
      <c r="AB41">
        <v>1.0144872665405273</v>
      </c>
      <c r="AC41">
        <v>0.80825167894363403</v>
      </c>
      <c r="AD41">
        <v>1.8227387666702271</v>
      </c>
      <c r="AE41">
        <v>224.97958374023438</v>
      </c>
      <c r="AF41">
        <v>581.89898681640625</v>
      </c>
      <c r="AG41">
        <v>1416.7470703125</v>
      </c>
      <c r="AH41">
        <v>1998.6458740234375</v>
      </c>
    </row>
    <row r="42" spans="1:34">
      <c r="A42" s="146" t="s">
        <v>339</v>
      </c>
      <c r="B42" s="146" t="s">
        <v>185</v>
      </c>
      <c r="C42" s="146">
        <v>72.498999999999995</v>
      </c>
      <c r="D42" s="146">
        <v>71.045000000000002</v>
      </c>
      <c r="E42" s="146">
        <v>143.54400634765625</v>
      </c>
      <c r="F42" s="146">
        <v>562.78997802734375</v>
      </c>
      <c r="G42" s="146">
        <v>585.34307861328125</v>
      </c>
      <c r="H42" s="146">
        <v>1148.133056640625</v>
      </c>
      <c r="I42" s="146">
        <v>105.06404113769531</v>
      </c>
      <c r="J42" s="146">
        <v>326.509521484375</v>
      </c>
      <c r="K42" s="146">
        <v>190.64878845214844</v>
      </c>
      <c r="L42" s="146">
        <v>517.15826416015625</v>
      </c>
      <c r="M42" s="146">
        <v>9991.81640625</v>
      </c>
      <c r="N42" s="146">
        <v>18108.697265625</v>
      </c>
      <c r="O42" s="146">
        <v>10568.59765625</v>
      </c>
      <c r="P42" s="146">
        <v>28677.294921875</v>
      </c>
      <c r="Q42" s="146">
        <v>235.59979248046875</v>
      </c>
      <c r="R42" s="146">
        <v>589.43426513671875</v>
      </c>
      <c r="S42" s="146">
        <v>335.59814453125</v>
      </c>
      <c r="T42" s="146">
        <v>925.03228759765625</v>
      </c>
      <c r="U42" s="146">
        <v>21231.650390625</v>
      </c>
      <c r="V42" s="146">
        <v>30162.943359375</v>
      </c>
      <c r="W42" s="146">
        <v>16923.740234375</v>
      </c>
      <c r="X42" s="146">
        <v>47086.68359375</v>
      </c>
      <c r="Y42" s="146">
        <v>64.375106811523438</v>
      </c>
      <c r="Z42" s="146">
        <v>5707.04052734375</v>
      </c>
      <c r="AA42">
        <v>9.6313200891017914E-2</v>
      </c>
      <c r="AB42">
        <v>0.17891688644886017</v>
      </c>
      <c r="AC42">
        <v>0.1190885454416275</v>
      </c>
      <c r="AD42">
        <v>0.29800546169281006</v>
      </c>
      <c r="AE42">
        <v>45.175899505615234</v>
      </c>
      <c r="AF42">
        <v>263.69711303710938</v>
      </c>
      <c r="AG42">
        <v>380.77880859375</v>
      </c>
      <c r="AH42">
        <v>644.47601318359375</v>
      </c>
    </row>
    <row r="43" spans="1:34">
      <c r="A43" s="146" t="s">
        <v>266</v>
      </c>
      <c r="B43" s="146" t="s">
        <v>112</v>
      </c>
      <c r="C43" s="146">
        <v>8403.6530000000002</v>
      </c>
      <c r="D43" s="146">
        <v>8157.1809999999996</v>
      </c>
      <c r="E43" s="146">
        <v>16560.833984375</v>
      </c>
      <c r="F43" s="146">
        <v>56069</v>
      </c>
      <c r="G43" s="146">
        <v>56009.7265625</v>
      </c>
      <c r="H43" s="146">
        <v>112078.7265625</v>
      </c>
      <c r="I43" s="146">
        <v>11408.7060546875</v>
      </c>
      <c r="J43" s="146">
        <v>24931.103515625</v>
      </c>
      <c r="K43" s="146">
        <v>19429.59375</v>
      </c>
      <c r="L43" s="146">
        <v>44360.69140625</v>
      </c>
      <c r="M43" s="146">
        <v>1063053.875</v>
      </c>
      <c r="N43" s="146">
        <v>1351032.375</v>
      </c>
      <c r="O43" s="146">
        <v>1088468.5</v>
      </c>
      <c r="P43" s="146">
        <v>2439500.75</v>
      </c>
      <c r="Q43" s="146">
        <v>27222.1484375</v>
      </c>
      <c r="R43" s="146">
        <v>34406.5390625</v>
      </c>
      <c r="S43" s="146">
        <v>26271.841796875</v>
      </c>
      <c r="T43" s="146">
        <v>60678.37109375</v>
      </c>
      <c r="U43" s="146">
        <v>2438946</v>
      </c>
      <c r="V43" s="146">
        <v>1947092.625</v>
      </c>
      <c r="W43" s="146">
        <v>1495028.875</v>
      </c>
      <c r="X43" s="146">
        <v>3442122</v>
      </c>
      <c r="Y43" s="146">
        <v>3962.65234375</v>
      </c>
      <c r="Z43" s="146">
        <v>400006.40625</v>
      </c>
      <c r="AA43">
        <v>81.953788757324219</v>
      </c>
      <c r="AB43">
        <v>68.142669677734375</v>
      </c>
      <c r="AC43">
        <v>61.426872253417969</v>
      </c>
      <c r="AD43">
        <v>129.56951904296875</v>
      </c>
      <c r="AE43">
        <v>19346.14453125</v>
      </c>
      <c r="AF43">
        <v>56929.20703125</v>
      </c>
      <c r="AG43">
        <v>70484.0390625</v>
      </c>
      <c r="AH43">
        <v>127413.2734375</v>
      </c>
    </row>
    <row r="44" spans="1:34">
      <c r="A44" s="146" t="s">
        <v>267</v>
      </c>
      <c r="B44" s="146" t="s">
        <v>113</v>
      </c>
      <c r="C44" s="146">
        <v>46.252000000000002</v>
      </c>
      <c r="D44" s="146">
        <v>43.822000000000003</v>
      </c>
      <c r="E44" s="146">
        <v>90.073997497558594</v>
      </c>
      <c r="F44" s="146">
        <v>450.95895385742188</v>
      </c>
      <c r="G44" s="146">
        <v>438.99600219726563</v>
      </c>
      <c r="H44" s="146">
        <v>889.9549560546875</v>
      </c>
      <c r="I44" s="146">
        <v>16.691362380981445</v>
      </c>
      <c r="J44" s="146">
        <v>50.334541320800781</v>
      </c>
      <c r="K44" s="146">
        <v>46.014259338378906</v>
      </c>
      <c r="L44" s="146">
        <v>96.348800659179688</v>
      </c>
      <c r="M44" s="146">
        <v>1790.800048828125</v>
      </c>
      <c r="N44" s="146">
        <v>3161.97314453125</v>
      </c>
      <c r="O44" s="146">
        <v>2453.809326171875</v>
      </c>
      <c r="P44" s="146">
        <v>5615.7822265625</v>
      </c>
      <c r="Q44" s="146">
        <v>69.329498291015625</v>
      </c>
      <c r="R44" s="146">
        <v>129.837646484375</v>
      </c>
      <c r="S44" s="146">
        <v>98.643592834472656</v>
      </c>
      <c r="T44" s="146">
        <v>228.48124694824219</v>
      </c>
      <c r="U44" s="146">
        <v>6318.81982421875</v>
      </c>
      <c r="V44" s="146">
        <v>6847.810546875</v>
      </c>
      <c r="W44" s="146">
        <v>5372.0185546875</v>
      </c>
      <c r="X44" s="146">
        <v>12219.8310546875</v>
      </c>
      <c r="Y44" s="146">
        <v>3.9338572025299072</v>
      </c>
      <c r="Z44" s="146">
        <v>518.40106201171875</v>
      </c>
      <c r="AA44">
        <v>1.5202728100121021E-2</v>
      </c>
      <c r="AB44">
        <v>4.2637571692466736E-2</v>
      </c>
      <c r="AC44">
        <v>3.5866711288690567E-2</v>
      </c>
      <c r="AD44">
        <v>7.8504286706447601E-2</v>
      </c>
      <c r="AE44">
        <v>16.015625</v>
      </c>
      <c r="AF44">
        <v>177.48663330078125</v>
      </c>
      <c r="AG44">
        <v>203.64712524414063</v>
      </c>
      <c r="AH44">
        <v>381.1336669921875</v>
      </c>
    </row>
    <row r="45" spans="1:34">
      <c r="A45" s="146" t="s">
        <v>269</v>
      </c>
      <c r="B45" s="146" t="s">
        <v>115</v>
      </c>
      <c r="C45" s="146">
        <v>159.857</v>
      </c>
      <c r="D45" s="146">
        <v>156.44</v>
      </c>
      <c r="E45" s="146">
        <v>316.2969970703125</v>
      </c>
      <c r="F45" s="146">
        <v>1106.1920166015625</v>
      </c>
      <c r="G45" s="146">
        <v>1066.3861083984375</v>
      </c>
      <c r="H45" s="146">
        <v>2172.578125</v>
      </c>
      <c r="I45" s="146">
        <v>118.93094635009766</v>
      </c>
      <c r="J45" s="146">
        <v>206.25120544433594</v>
      </c>
      <c r="K45" s="146">
        <v>111.9326171875</v>
      </c>
      <c r="L45" s="146">
        <v>318.18380737304688</v>
      </c>
      <c r="M45" s="146">
        <v>11542.8154296875</v>
      </c>
      <c r="N45" s="146">
        <v>13126.76953125</v>
      </c>
      <c r="O45" s="146">
        <v>7768.32177734375</v>
      </c>
      <c r="P45" s="146">
        <v>20895.087890625</v>
      </c>
      <c r="Q45" s="146">
        <v>310.70379638671875</v>
      </c>
      <c r="R45" s="146">
        <v>598.82916259765625</v>
      </c>
      <c r="S45" s="146">
        <v>369.73709106445313</v>
      </c>
      <c r="T45" s="146">
        <v>968.56634521484375</v>
      </c>
      <c r="U45" s="146">
        <v>28294.580078125</v>
      </c>
      <c r="V45" s="146">
        <v>29508.734375</v>
      </c>
      <c r="W45" s="146">
        <v>18770.94140625</v>
      </c>
      <c r="X45" s="146">
        <v>48279.67578125</v>
      </c>
      <c r="Y45" s="146">
        <v>24.389591217041016</v>
      </c>
      <c r="Z45" s="146">
        <v>2323.80859375</v>
      </c>
      <c r="AA45">
        <v>0.16056650876998901</v>
      </c>
      <c r="AB45">
        <v>0.2347930520772934</v>
      </c>
      <c r="AC45">
        <v>0.11123700439929962</v>
      </c>
      <c r="AD45">
        <v>0.34603002667427063</v>
      </c>
      <c r="AE45">
        <v>37.943370819091797</v>
      </c>
      <c r="AF45">
        <v>126.48966979980469</v>
      </c>
      <c r="AG45">
        <v>183.37039184570313</v>
      </c>
      <c r="AH45">
        <v>309.86001586914063</v>
      </c>
    </row>
    <row r="46" spans="1:34">
      <c r="A46" s="146" t="s">
        <v>273</v>
      </c>
      <c r="B46" s="146" t="s">
        <v>119</v>
      </c>
      <c r="C46" s="146">
        <v>202.614</v>
      </c>
      <c r="D46" s="146">
        <v>198.624</v>
      </c>
      <c r="E46" s="146">
        <v>401.23800659179688</v>
      </c>
      <c r="F46" s="146">
        <v>1164.364013671875</v>
      </c>
      <c r="G46" s="146">
        <v>1183.33203125</v>
      </c>
      <c r="H46" s="146">
        <v>2347.696044921875</v>
      </c>
      <c r="I46" s="146">
        <v>273.47720336914063</v>
      </c>
      <c r="J46" s="146">
        <v>348.15811157226563</v>
      </c>
      <c r="K46" s="146">
        <v>277.57177734375</v>
      </c>
      <c r="L46" s="146">
        <v>625.72991943359375</v>
      </c>
      <c r="M46" s="146">
        <v>25662.09765625</v>
      </c>
      <c r="N46" s="146">
        <v>24413.72265625</v>
      </c>
      <c r="O46" s="146">
        <v>20033.73046875</v>
      </c>
      <c r="P46" s="146">
        <v>44447.4453125</v>
      </c>
      <c r="Q46" s="146">
        <v>548.84820556640625</v>
      </c>
      <c r="R46" s="146">
        <v>751.1787109375</v>
      </c>
      <c r="S46" s="146">
        <v>590.58258056640625</v>
      </c>
      <c r="T46" s="146">
        <v>1341.76123046875</v>
      </c>
      <c r="U46" s="146">
        <v>49142.7109375</v>
      </c>
      <c r="V46" s="146">
        <v>41188.2890625</v>
      </c>
      <c r="W46" s="146">
        <v>33213.06640625</v>
      </c>
      <c r="X46" s="146">
        <v>74401.34375</v>
      </c>
      <c r="Y46" s="146">
        <v>64.715660095214844</v>
      </c>
      <c r="Z46" s="146">
        <v>6581.07275390625</v>
      </c>
      <c r="AA46">
        <v>1.0224716663360596</v>
      </c>
      <c r="AB46">
        <v>0.90614646673202515</v>
      </c>
      <c r="AC46">
        <v>0.76594448089599609</v>
      </c>
      <c r="AD46">
        <v>1.6720911264419556</v>
      </c>
      <c r="AE46">
        <v>146.40420532226563</v>
      </c>
      <c r="AF46">
        <v>273.13162231445313</v>
      </c>
      <c r="AG46">
        <v>551.86956787109375</v>
      </c>
      <c r="AH46">
        <v>825.00128173828125</v>
      </c>
    </row>
    <row r="47" spans="1:34">
      <c r="A47" s="146" t="s">
        <v>270</v>
      </c>
      <c r="B47" s="146" t="s">
        <v>116</v>
      </c>
      <c r="C47" s="146">
        <v>141.29900000000001</v>
      </c>
      <c r="D47" s="146">
        <v>132.76300000000001</v>
      </c>
      <c r="E47" s="146">
        <v>274.06201171875</v>
      </c>
      <c r="F47" s="146">
        <v>1905.742919921875</v>
      </c>
      <c r="G47" s="146">
        <v>2091.019287109375</v>
      </c>
      <c r="H47" s="146">
        <v>3996.76220703125</v>
      </c>
      <c r="I47" s="146">
        <v>6.2694792747497559</v>
      </c>
      <c r="J47" s="146">
        <v>9.6121444702148438</v>
      </c>
      <c r="K47" s="146">
        <v>9.0085601806640625</v>
      </c>
      <c r="L47" s="146">
        <v>18.620704650878906</v>
      </c>
      <c r="M47" s="146">
        <v>1129.4718017578125</v>
      </c>
      <c r="N47" s="146">
        <v>3626.03125</v>
      </c>
      <c r="O47" s="146">
        <v>3774.53466796875</v>
      </c>
      <c r="P47" s="146">
        <v>7400.56591796875</v>
      </c>
      <c r="Q47" s="146">
        <v>41.852046966552734</v>
      </c>
      <c r="R47" s="146">
        <v>486.16812133789063</v>
      </c>
      <c r="S47" s="146">
        <v>400.36044311523438</v>
      </c>
      <c r="T47" s="146">
        <v>886.528564453125</v>
      </c>
      <c r="U47" s="146">
        <v>3992.446044921875</v>
      </c>
      <c r="V47" s="146">
        <v>15119.69921875</v>
      </c>
      <c r="W47" s="146">
        <v>10085.6396484375</v>
      </c>
      <c r="X47" s="146">
        <v>25205.3359375</v>
      </c>
      <c r="Y47" s="146">
        <v>0.16707950830459595</v>
      </c>
      <c r="Z47" s="146">
        <v>151.17448425292969</v>
      </c>
      <c r="AA47">
        <v>2.5656623765826225E-3</v>
      </c>
      <c r="AB47">
        <v>2.0879467949271202E-2</v>
      </c>
      <c r="AC47">
        <v>1.4287627302110195E-2</v>
      </c>
      <c r="AD47">
        <v>3.5167090594768524E-2</v>
      </c>
      <c r="AE47">
        <v>2.0958704948425293</v>
      </c>
      <c r="AF47">
        <v>11.479667663574219</v>
      </c>
      <c r="AG47">
        <v>82.043487548828125</v>
      </c>
      <c r="AH47">
        <v>93.523155212402344</v>
      </c>
    </row>
    <row r="48" spans="1:34">
      <c r="A48" s="146" t="s">
        <v>271</v>
      </c>
      <c r="B48" s="146" t="s">
        <v>117</v>
      </c>
      <c r="C48" s="146">
        <v>2111.672</v>
      </c>
      <c r="D48" s="146">
        <v>2023.1020000000001</v>
      </c>
      <c r="E48" s="146">
        <v>4134.77392578125</v>
      </c>
      <c r="F48" s="146">
        <v>15416.087890625</v>
      </c>
      <c r="G48" s="146">
        <v>15001.7724609375</v>
      </c>
      <c r="H48" s="146">
        <v>30417.859375</v>
      </c>
      <c r="I48" s="146">
        <v>2106.58056640625</v>
      </c>
      <c r="J48" s="146">
        <v>3765.249755859375</v>
      </c>
      <c r="K48" s="146">
        <v>2772.86767578125</v>
      </c>
      <c r="L48" s="146">
        <v>6538.11669921875</v>
      </c>
      <c r="M48" s="146">
        <v>200994.453125</v>
      </c>
      <c r="N48" s="146">
        <v>253333.5625</v>
      </c>
      <c r="O48" s="146">
        <v>190013.15625</v>
      </c>
      <c r="P48" s="146">
        <v>443346.71875</v>
      </c>
      <c r="Q48" s="146">
        <v>4237.32373046875</v>
      </c>
      <c r="R48" s="146">
        <v>11405.08203125</v>
      </c>
      <c r="S48" s="146">
        <v>4873.39404296875</v>
      </c>
      <c r="T48" s="146">
        <v>16278.4765625</v>
      </c>
      <c r="U48" s="146">
        <v>382421.875</v>
      </c>
      <c r="V48" s="146">
        <v>510672.125</v>
      </c>
      <c r="W48" s="146">
        <v>264249.40625</v>
      </c>
      <c r="X48" s="146">
        <v>774921.5625</v>
      </c>
      <c r="Y48" s="146">
        <v>1094.399169921875</v>
      </c>
      <c r="Z48" s="146">
        <v>105416.5546875</v>
      </c>
      <c r="AA48">
        <v>7.7844867706298828</v>
      </c>
      <c r="AB48">
        <v>7.1044597625732422</v>
      </c>
      <c r="AC48">
        <v>5.1971540451049805</v>
      </c>
      <c r="AD48">
        <v>12.301612854003906</v>
      </c>
      <c r="AE48">
        <v>1793.4498291015625</v>
      </c>
      <c r="AF48">
        <v>4909.51318359375</v>
      </c>
      <c r="AG48">
        <v>8519.8251953125</v>
      </c>
      <c r="AH48">
        <v>13429.33984375</v>
      </c>
    </row>
    <row r="49" spans="1:34">
      <c r="A49" s="146" t="s">
        <v>276</v>
      </c>
      <c r="B49" s="146" t="s">
        <v>122</v>
      </c>
      <c r="C49" s="146">
        <v>4.6349999999999998</v>
      </c>
      <c r="D49" s="146">
        <v>4.4290000000000003</v>
      </c>
      <c r="E49" s="146">
        <v>9.064000129699707</v>
      </c>
      <c r="F49" s="146">
        <v>56.426006317138672</v>
      </c>
      <c r="G49" s="146">
        <v>55.575996398925781</v>
      </c>
      <c r="H49" s="146">
        <v>112.00199890136719</v>
      </c>
      <c r="I49" s="146">
        <v>2.328593545826152E-4</v>
      </c>
      <c r="J49" s="146">
        <v>0.56867533922195435</v>
      </c>
      <c r="K49" s="146">
        <v>1.0264555215835571</v>
      </c>
      <c r="L49" s="146">
        <v>1.5951309204101563</v>
      </c>
      <c r="M49" s="146">
        <v>27.344057083129883</v>
      </c>
      <c r="N49" s="146">
        <v>126.46939086914063</v>
      </c>
      <c r="O49" s="146">
        <v>122.49660491943359</v>
      </c>
      <c r="P49" s="146">
        <v>248.96597290039063</v>
      </c>
      <c r="Q49" s="146">
        <v>0.22388800978660583</v>
      </c>
      <c r="R49" s="146">
        <v>23.492452621459961</v>
      </c>
      <c r="S49" s="146">
        <v>31.039297103881836</v>
      </c>
      <c r="T49" s="146">
        <v>54.531745910644531</v>
      </c>
      <c r="U49" s="146">
        <v>35.496658325195313</v>
      </c>
      <c r="V49" s="146">
        <v>522.2540283203125</v>
      </c>
      <c r="W49" s="146">
        <v>496.6685791015625</v>
      </c>
      <c r="X49" s="146">
        <v>1018.922607421875</v>
      </c>
      <c r="Y49" s="146">
        <v>0.12647746503353119</v>
      </c>
      <c r="Z49" s="146">
        <v>14.064691543579102</v>
      </c>
      <c r="AA49">
        <v>6.067948997952044E-4</v>
      </c>
      <c r="AB49">
        <v>3.2443238887935877E-4</v>
      </c>
      <c r="AC49">
        <v>2.8236248181201518E-4</v>
      </c>
      <c r="AD49">
        <v>6.067948997952044E-4</v>
      </c>
      <c r="AE49">
        <v>0.32064846158027649</v>
      </c>
      <c r="AF49">
        <v>1.6560688018798828</v>
      </c>
      <c r="AG49">
        <v>4.8695921897888184</v>
      </c>
      <c r="AH49">
        <v>6.5256614685058594</v>
      </c>
    </row>
    <row r="50" spans="1:34">
      <c r="A50" s="146" t="s">
        <v>277</v>
      </c>
      <c r="B50" s="146" t="s">
        <v>123</v>
      </c>
      <c r="C50" s="146">
        <v>1050.421</v>
      </c>
      <c r="D50" s="146">
        <v>1005.366</v>
      </c>
      <c r="E50" s="146">
        <v>2055.787109375</v>
      </c>
      <c r="F50" s="146">
        <v>8659.951171875</v>
      </c>
      <c r="G50" s="146">
        <v>8921.5283203125</v>
      </c>
      <c r="H50" s="146">
        <v>17581.48046875</v>
      </c>
      <c r="I50" s="146">
        <v>625.0069580078125</v>
      </c>
      <c r="J50" s="146">
        <v>1366.3262939453125</v>
      </c>
      <c r="K50" s="146">
        <v>1251.0220947265625</v>
      </c>
      <c r="L50" s="146">
        <v>2617.3486328125</v>
      </c>
      <c r="M50" s="146">
        <v>62056.09765625</v>
      </c>
      <c r="N50" s="146">
        <v>80719.765625</v>
      </c>
      <c r="O50" s="146">
        <v>66509.71875</v>
      </c>
      <c r="P50" s="146">
        <v>147229.5</v>
      </c>
      <c r="Q50" s="146">
        <v>1604.668212890625</v>
      </c>
      <c r="R50" s="146">
        <v>4951.90234375</v>
      </c>
      <c r="S50" s="146">
        <v>4327.52978515625</v>
      </c>
      <c r="T50" s="146">
        <v>9279.4326171875</v>
      </c>
      <c r="U50" s="146">
        <v>146533.796875</v>
      </c>
      <c r="V50" s="146">
        <v>192856.078125</v>
      </c>
      <c r="W50" s="146">
        <v>153496.859375</v>
      </c>
      <c r="X50" s="146">
        <v>346352.90625</v>
      </c>
      <c r="Y50" s="146">
        <v>411.25527954101563</v>
      </c>
      <c r="Z50" s="146">
        <v>36884.23828125</v>
      </c>
      <c r="AA50">
        <v>3.9607062339782715</v>
      </c>
      <c r="AB50">
        <v>3.5089740753173828</v>
      </c>
      <c r="AC50">
        <v>3.5825355052947998</v>
      </c>
      <c r="AD50">
        <v>7.0915098190307617</v>
      </c>
      <c r="AE50">
        <v>1194.6029052734375</v>
      </c>
      <c r="AF50">
        <v>4372.03564453125</v>
      </c>
      <c r="AG50">
        <v>6721.8212890625</v>
      </c>
      <c r="AH50">
        <v>11093.8583984375</v>
      </c>
    </row>
    <row r="51" spans="1:34">
      <c r="A51" s="146" t="s">
        <v>272</v>
      </c>
      <c r="B51" s="146" t="s">
        <v>118</v>
      </c>
      <c r="C51" s="146">
        <v>1036.681</v>
      </c>
      <c r="D51" s="146">
        <v>1022.913</v>
      </c>
      <c r="E51" s="146">
        <v>2059.593994140625</v>
      </c>
      <c r="F51" s="146">
        <v>6166.07421875</v>
      </c>
      <c r="G51" s="146">
        <v>6605.17041015625</v>
      </c>
      <c r="H51" s="146">
        <v>12771.244140625</v>
      </c>
      <c r="I51" s="146">
        <v>2685.1884765625</v>
      </c>
      <c r="J51" s="146">
        <v>3439.125244140625</v>
      </c>
      <c r="K51" s="146">
        <v>3348.89599609375</v>
      </c>
      <c r="L51" s="146">
        <v>6788.0205078125</v>
      </c>
      <c r="M51" s="146">
        <v>243682.109375</v>
      </c>
      <c r="N51" s="146">
        <v>233083.4375</v>
      </c>
      <c r="O51" s="146">
        <v>207300.953125</v>
      </c>
      <c r="P51" s="146">
        <v>440384.40625</v>
      </c>
      <c r="Q51" s="146">
        <v>6562.99755859375</v>
      </c>
      <c r="R51" s="146">
        <v>6609.5439453125</v>
      </c>
      <c r="S51" s="146">
        <v>6195.94775390625</v>
      </c>
      <c r="T51" s="146">
        <v>12805.4921875</v>
      </c>
      <c r="U51" s="146">
        <v>586111.75</v>
      </c>
      <c r="V51" s="146">
        <v>434313</v>
      </c>
      <c r="W51" s="146">
        <v>377054.875</v>
      </c>
      <c r="X51" s="146">
        <v>811367.875</v>
      </c>
      <c r="Y51" s="146">
        <v>686.17803955078125</v>
      </c>
      <c r="Z51" s="146">
        <v>65160.69921875</v>
      </c>
      <c r="AA51">
        <v>11.724503517150879</v>
      </c>
      <c r="AB51">
        <v>11.778755187988281</v>
      </c>
      <c r="AC51">
        <v>10.39134693145752</v>
      </c>
      <c r="AD51">
        <v>22.170101165771484</v>
      </c>
      <c r="AE51">
        <v>1942.8873291015625</v>
      </c>
      <c r="AF51">
        <v>4362.3935546875</v>
      </c>
      <c r="AG51">
        <v>5475.5048828125</v>
      </c>
      <c r="AH51">
        <v>9837.8984375</v>
      </c>
    </row>
    <row r="52" spans="1:34">
      <c r="A52" s="146" t="s">
        <v>274</v>
      </c>
      <c r="B52" s="146" t="s">
        <v>120</v>
      </c>
      <c r="C52" s="146">
        <v>152.18899999999999</v>
      </c>
      <c r="D52" s="146">
        <v>149.46700000000001</v>
      </c>
      <c r="E52" s="146">
        <v>301.656005859375</v>
      </c>
      <c r="F52" s="146">
        <v>938.8629150390625</v>
      </c>
      <c r="G52" s="146">
        <v>982.05401611328125</v>
      </c>
      <c r="H52" s="146">
        <v>1920.9169921875</v>
      </c>
      <c r="I52" s="146">
        <v>372.75674438476563</v>
      </c>
      <c r="J52" s="146">
        <v>449.16952514648438</v>
      </c>
      <c r="K52" s="146">
        <v>463.73196411132813</v>
      </c>
      <c r="L52" s="146">
        <v>912.9014892578125</v>
      </c>
      <c r="M52" s="146">
        <v>34000.2265625</v>
      </c>
      <c r="N52" s="146">
        <v>30121.181640625</v>
      </c>
      <c r="O52" s="146">
        <v>27877.087890625</v>
      </c>
      <c r="P52" s="146">
        <v>57998.27734375</v>
      </c>
      <c r="Q52" s="146">
        <v>619.86993408203125</v>
      </c>
      <c r="R52" s="146">
        <v>761.26007080078125</v>
      </c>
      <c r="S52" s="146">
        <v>630.53021240234375</v>
      </c>
      <c r="T52" s="146">
        <v>1391.7904052734375</v>
      </c>
      <c r="U52" s="146">
        <v>55358.94140625</v>
      </c>
      <c r="V52" s="146">
        <v>45177.46484375</v>
      </c>
      <c r="W52" s="146">
        <v>36496.2421875</v>
      </c>
      <c r="X52" s="146">
        <v>81673.71875</v>
      </c>
      <c r="Y52" s="146">
        <v>74.961410522460938</v>
      </c>
      <c r="Z52" s="146">
        <v>7288.765625</v>
      </c>
      <c r="AA52">
        <v>3.1503112316131592</v>
      </c>
      <c r="AB52">
        <v>2.2434563636779785</v>
      </c>
      <c r="AC52">
        <v>1.8493739366531372</v>
      </c>
      <c r="AD52">
        <v>4.0928306579589844</v>
      </c>
      <c r="AE52">
        <v>522.33709716796875</v>
      </c>
      <c r="AF52">
        <v>1103.5994873046875</v>
      </c>
      <c r="AG52">
        <v>1709.114013671875</v>
      </c>
      <c r="AH52">
        <v>2812.713623046875</v>
      </c>
    </row>
    <row r="53" spans="1:34">
      <c r="A53" s="146" t="s">
        <v>278</v>
      </c>
      <c r="B53" s="146" t="s">
        <v>124</v>
      </c>
      <c r="C53" s="146">
        <v>38.279000000000003</v>
      </c>
      <c r="D53" s="146">
        <v>36.298999999999999</v>
      </c>
      <c r="E53" s="146">
        <v>74.5780029296875</v>
      </c>
      <c r="F53" s="146">
        <v>393.27093505859375</v>
      </c>
      <c r="G53" s="146">
        <v>389.50396728515625</v>
      </c>
      <c r="H53" s="146">
        <v>782.77490234375</v>
      </c>
      <c r="I53" s="146">
        <v>9.8721590042114258</v>
      </c>
      <c r="J53" s="146">
        <v>23.999141693115234</v>
      </c>
      <c r="K53" s="146">
        <v>23.503610610961914</v>
      </c>
      <c r="L53" s="146">
        <v>47.50274658203125</v>
      </c>
      <c r="M53" s="146">
        <v>1054.193115234375</v>
      </c>
      <c r="N53" s="146">
        <v>1706.2703857421875</v>
      </c>
      <c r="O53" s="146">
        <v>1500.0247802734375</v>
      </c>
      <c r="P53" s="146">
        <v>3206.294921875</v>
      </c>
      <c r="Q53" s="146">
        <v>36.636272430419922</v>
      </c>
      <c r="R53" s="146">
        <v>167.9876708984375</v>
      </c>
      <c r="S53" s="146">
        <v>134.03852844238281</v>
      </c>
      <c r="T53" s="146">
        <v>302.0262451171875</v>
      </c>
      <c r="U53" s="146">
        <v>3397.202392578125</v>
      </c>
      <c r="V53" s="146">
        <v>6050.9365234375</v>
      </c>
      <c r="W53" s="146">
        <v>4292.259765625</v>
      </c>
      <c r="X53" s="146">
        <v>10343.197265625</v>
      </c>
      <c r="Y53" s="146">
        <v>9.4802255630493164</v>
      </c>
      <c r="Z53" s="146">
        <v>1006.7359619140625</v>
      </c>
      <c r="AA53">
        <v>2.1314367651939392E-2</v>
      </c>
      <c r="AB53">
        <v>1.0438596829771996E-2</v>
      </c>
      <c r="AC53">
        <v>1.0875771753489971E-2</v>
      </c>
      <c r="AD53">
        <v>2.1314367651939392E-2</v>
      </c>
      <c r="AE53">
        <v>4.9292445182800293</v>
      </c>
      <c r="AF53">
        <v>14.592410087585449</v>
      </c>
      <c r="AG53">
        <v>40.231369018554688</v>
      </c>
      <c r="AH53">
        <v>54.823772430419922</v>
      </c>
    </row>
    <row r="54" spans="1:34">
      <c r="A54" s="146" t="s">
        <v>280</v>
      </c>
      <c r="B54" s="146" t="s">
        <v>126</v>
      </c>
      <c r="C54" s="146">
        <v>645.04899999999998</v>
      </c>
      <c r="D54" s="146">
        <v>620.84199999999998</v>
      </c>
      <c r="E54" s="146">
        <v>1265.8909912109375</v>
      </c>
      <c r="F54" s="146">
        <v>5557.59619140625</v>
      </c>
      <c r="G54" s="146">
        <v>5705.4833984375</v>
      </c>
      <c r="H54" s="146">
        <v>11263.080078125</v>
      </c>
      <c r="I54" s="146">
        <v>1413.7554931640625</v>
      </c>
      <c r="J54" s="146">
        <v>1333.43896484375</v>
      </c>
      <c r="K54" s="146">
        <v>1206.11865234375</v>
      </c>
      <c r="L54" s="146">
        <v>2539.5576171875</v>
      </c>
      <c r="M54" s="146">
        <v>132677.734375</v>
      </c>
      <c r="N54" s="146">
        <v>98630.25</v>
      </c>
      <c r="O54" s="146">
        <v>85685.28125</v>
      </c>
      <c r="P54" s="146">
        <v>184315.515625</v>
      </c>
      <c r="Q54" s="146">
        <v>3413.3662109375</v>
      </c>
      <c r="R54" s="146">
        <v>3482.75732421875</v>
      </c>
      <c r="S54" s="146">
        <v>3600.997314453125</v>
      </c>
      <c r="T54" s="146">
        <v>7083.755859375</v>
      </c>
      <c r="U54" s="146">
        <v>305934.96875</v>
      </c>
      <c r="V54" s="146">
        <v>220172.34375</v>
      </c>
      <c r="W54" s="146">
        <v>202543.4375</v>
      </c>
      <c r="X54" s="146">
        <v>422715.84375</v>
      </c>
      <c r="Y54" s="146">
        <v>417.95480346679688</v>
      </c>
      <c r="Z54" s="146">
        <v>38376.77734375</v>
      </c>
      <c r="AA54">
        <v>2.4872465133666992</v>
      </c>
      <c r="AB54">
        <v>2.3735668659210205</v>
      </c>
      <c r="AC54">
        <v>2.8842778205871582</v>
      </c>
      <c r="AD54">
        <v>5.2578439712524414</v>
      </c>
      <c r="AE54">
        <v>538.5657958984375</v>
      </c>
      <c r="AF54">
        <v>1603.785400390625</v>
      </c>
      <c r="AG54">
        <v>5346.7646484375</v>
      </c>
      <c r="AH54">
        <v>6950.5498046875</v>
      </c>
    </row>
    <row r="55" spans="1:34">
      <c r="A55" s="146" t="s">
        <v>279</v>
      </c>
      <c r="B55" s="146" t="s">
        <v>125</v>
      </c>
      <c r="C55" s="146">
        <v>517.20799999999997</v>
      </c>
      <c r="D55" s="146">
        <v>493.666</v>
      </c>
      <c r="E55" s="146">
        <v>1010.8740234375</v>
      </c>
      <c r="F55" s="146">
        <v>4868.994140625</v>
      </c>
      <c r="G55" s="146">
        <v>4877.12109375</v>
      </c>
      <c r="H55" s="146">
        <v>9746.115234375</v>
      </c>
      <c r="I55" s="146">
        <v>194.95149230957031</v>
      </c>
      <c r="J55" s="146">
        <v>341.94308471679688</v>
      </c>
      <c r="K55" s="146">
        <v>580.55902099609375</v>
      </c>
      <c r="L55" s="146">
        <v>922.50213623046875</v>
      </c>
      <c r="M55" s="146">
        <v>21032.60546875</v>
      </c>
      <c r="N55" s="146">
        <v>23139.17578125</v>
      </c>
      <c r="O55" s="146">
        <v>24944.544921875</v>
      </c>
      <c r="P55" s="146">
        <v>48083.71484375</v>
      </c>
      <c r="Q55" s="146">
        <v>413.2076416015625</v>
      </c>
      <c r="R55" s="146">
        <v>784.25830078125</v>
      </c>
      <c r="S55" s="146">
        <v>560.2996826171875</v>
      </c>
      <c r="T55" s="146">
        <v>1344.557861328125</v>
      </c>
      <c r="U55" s="146">
        <v>38681.76953125</v>
      </c>
      <c r="V55" s="146">
        <v>38882.6796875</v>
      </c>
      <c r="W55" s="146">
        <v>27825.625</v>
      </c>
      <c r="X55" s="146">
        <v>66708.296875</v>
      </c>
      <c r="Y55" s="146">
        <v>17.75971794128418</v>
      </c>
      <c r="Z55" s="146">
        <v>1653.8028564453125</v>
      </c>
      <c r="AA55">
        <v>0.39085206389427185</v>
      </c>
      <c r="AB55">
        <v>0.78906470537185669</v>
      </c>
      <c r="AC55">
        <v>0.9155353307723999</v>
      </c>
      <c r="AD55">
        <v>1.7045999765396118</v>
      </c>
      <c r="AE55">
        <v>398.11270141601563</v>
      </c>
      <c r="AF55">
        <v>2437.335693359375</v>
      </c>
      <c r="AG55">
        <v>3143.793212890625</v>
      </c>
      <c r="AH55">
        <v>5581.1298828125</v>
      </c>
    </row>
    <row r="56" spans="1:34">
      <c r="A56" s="146" t="s">
        <v>282</v>
      </c>
      <c r="B56" s="146" t="s">
        <v>128</v>
      </c>
      <c r="C56" s="146">
        <v>61184.851999999999</v>
      </c>
      <c r="D56" s="146">
        <v>55596.97</v>
      </c>
      <c r="E56" s="146">
        <v>116781.8203125</v>
      </c>
      <c r="F56" s="146">
        <v>710129.4375</v>
      </c>
      <c r="G56" s="146">
        <v>656288.25</v>
      </c>
      <c r="H56" s="146">
        <v>1366417.75</v>
      </c>
      <c r="I56" s="146">
        <v>65909.25</v>
      </c>
      <c r="J56" s="146">
        <v>262710.625</v>
      </c>
      <c r="K56" s="146">
        <v>407603.90625</v>
      </c>
      <c r="L56" s="146">
        <v>670314.5</v>
      </c>
      <c r="M56" s="146">
        <v>5978242</v>
      </c>
      <c r="N56" s="146">
        <v>10524418</v>
      </c>
      <c r="O56" s="146">
        <v>13195722</v>
      </c>
      <c r="P56" s="146">
        <v>23720142</v>
      </c>
      <c r="Q56" s="146">
        <v>96711.1484375</v>
      </c>
      <c r="R56" s="146">
        <v>190164.59375</v>
      </c>
      <c r="S56" s="146">
        <v>202911.859375</v>
      </c>
      <c r="T56" s="146">
        <v>393076.4375</v>
      </c>
      <c r="U56" s="146">
        <v>8809746</v>
      </c>
      <c r="V56" s="146">
        <v>8525054</v>
      </c>
      <c r="W56" s="146">
        <v>8583183</v>
      </c>
      <c r="X56" s="146">
        <v>17108238</v>
      </c>
      <c r="Y56" s="146">
        <v>4782.70166015625</v>
      </c>
      <c r="Z56" s="146">
        <v>1221774.25</v>
      </c>
      <c r="AA56">
        <v>32.876865386962891</v>
      </c>
      <c r="AB56">
        <v>65.809707641601563</v>
      </c>
      <c r="AC56">
        <v>60.264446258544922</v>
      </c>
      <c r="AD56">
        <v>126.07415008544922</v>
      </c>
      <c r="AE56">
        <v>28476.046875</v>
      </c>
      <c r="AF56">
        <v>141246.75</v>
      </c>
      <c r="AG56">
        <v>200652.375</v>
      </c>
      <c r="AH56">
        <v>341899.09375</v>
      </c>
    </row>
    <row r="57" spans="1:34">
      <c r="A57" s="146" t="s">
        <v>281</v>
      </c>
      <c r="B57" s="146" t="s">
        <v>127</v>
      </c>
      <c r="C57" s="146">
        <v>12232.223</v>
      </c>
      <c r="D57" s="146">
        <v>11707.538</v>
      </c>
      <c r="E57" s="146">
        <v>23939.76171875</v>
      </c>
      <c r="F57" s="146">
        <v>136269.78125</v>
      </c>
      <c r="G57" s="146">
        <v>134355.8125</v>
      </c>
      <c r="H57" s="146">
        <v>270625.59375</v>
      </c>
      <c r="I57" s="146">
        <v>5120.892578125</v>
      </c>
      <c r="J57" s="146">
        <v>33029.87109375</v>
      </c>
      <c r="K57" s="146">
        <v>30936.068359375</v>
      </c>
      <c r="L57" s="146">
        <v>63965.94140625</v>
      </c>
      <c r="M57" s="146">
        <v>519252.1875</v>
      </c>
      <c r="N57" s="146">
        <v>1207973.5</v>
      </c>
      <c r="O57" s="146">
        <v>966329.125</v>
      </c>
      <c r="P57" s="146">
        <v>2174302.5</v>
      </c>
      <c r="Q57" s="146">
        <v>14554.12890625</v>
      </c>
      <c r="R57" s="146">
        <v>28913.21875</v>
      </c>
      <c r="S57" s="146">
        <v>23705.966796875</v>
      </c>
      <c r="T57" s="146">
        <v>52619.18359375</v>
      </c>
      <c r="U57" s="146">
        <v>1346802.625</v>
      </c>
      <c r="V57" s="146">
        <v>1412326.75</v>
      </c>
      <c r="W57" s="146">
        <v>1035054.8125</v>
      </c>
      <c r="X57" s="146">
        <v>2447381</v>
      </c>
      <c r="Y57" s="146">
        <v>621.02471923828125</v>
      </c>
      <c r="Z57" s="146">
        <v>164263.390625</v>
      </c>
      <c r="AA57">
        <v>5.8576750755310059</v>
      </c>
      <c r="AB57">
        <v>15.571610450744629</v>
      </c>
      <c r="AC57">
        <v>12.986167907714844</v>
      </c>
      <c r="AD57">
        <v>28.557773590087891</v>
      </c>
      <c r="AE57">
        <v>4058.541259765625</v>
      </c>
      <c r="AF57">
        <v>22518.83984375</v>
      </c>
      <c r="AG57">
        <v>35132.921875</v>
      </c>
      <c r="AH57">
        <v>57651.76171875</v>
      </c>
    </row>
    <row r="58" spans="1:34">
      <c r="A58" s="146" t="s">
        <v>283</v>
      </c>
      <c r="B58" s="146" t="s">
        <v>129</v>
      </c>
      <c r="C58" s="146">
        <v>3890.0839999999998</v>
      </c>
      <c r="D58" s="146">
        <v>3692.7179999999998</v>
      </c>
      <c r="E58" s="146">
        <v>7582.8017578125</v>
      </c>
      <c r="F58" s="146">
        <v>41889.890625</v>
      </c>
      <c r="G58" s="146">
        <v>41024.0078125</v>
      </c>
      <c r="H58" s="146">
        <v>82913.8984375</v>
      </c>
      <c r="I58" s="146">
        <v>967.2049560546875</v>
      </c>
      <c r="J58" s="146">
        <v>983.55194091796875</v>
      </c>
      <c r="K58" s="146">
        <v>852.57220458984375</v>
      </c>
      <c r="L58" s="146">
        <v>1836.1241455078125</v>
      </c>
      <c r="M58" s="146">
        <v>108839.5859375</v>
      </c>
      <c r="N58" s="146">
        <v>138656.171875</v>
      </c>
      <c r="O58" s="146">
        <v>127375.4375</v>
      </c>
      <c r="P58" s="146">
        <v>266031.625</v>
      </c>
      <c r="Q58" s="146">
        <v>2619.603271484375</v>
      </c>
      <c r="R58" s="146">
        <v>6496.912109375</v>
      </c>
      <c r="S58" s="146">
        <v>4762.30615234375</v>
      </c>
      <c r="T58" s="146">
        <v>11259.2177734375</v>
      </c>
      <c r="U58" s="146">
        <v>246708.3125</v>
      </c>
      <c r="V58" s="146">
        <v>295818.03125</v>
      </c>
      <c r="W58" s="146">
        <v>236849.984375</v>
      </c>
      <c r="X58" s="146">
        <v>532668.0625</v>
      </c>
      <c r="Y58" s="146">
        <v>25.992277145385742</v>
      </c>
      <c r="Z58" s="146">
        <v>9941.8388671875</v>
      </c>
      <c r="AA58">
        <v>0.427440345287323</v>
      </c>
      <c r="AB58">
        <v>1.4725328683853149</v>
      </c>
      <c r="AC58">
        <v>1.2430282831192017</v>
      </c>
      <c r="AD58">
        <v>2.7155611515045166</v>
      </c>
      <c r="AE58">
        <v>90.980712890625</v>
      </c>
      <c r="AF58">
        <v>333.9459228515625</v>
      </c>
      <c r="AG58">
        <v>531.2401123046875</v>
      </c>
      <c r="AH58">
        <v>865.18603515625</v>
      </c>
    </row>
    <row r="59" spans="1:34">
      <c r="A59" s="146" t="s">
        <v>284</v>
      </c>
      <c r="B59" s="146" t="s">
        <v>130</v>
      </c>
      <c r="C59" s="146">
        <v>2764.5529999999999</v>
      </c>
      <c r="D59" s="146">
        <v>2609.3850000000002</v>
      </c>
      <c r="E59" s="146">
        <v>5373.93798828125</v>
      </c>
      <c r="F59" s="146">
        <v>19891.814453125</v>
      </c>
      <c r="G59" s="146">
        <v>19417.97265625</v>
      </c>
      <c r="H59" s="146">
        <v>39309.7890625</v>
      </c>
      <c r="I59" s="146">
        <v>1323.914794921875</v>
      </c>
      <c r="J59" s="146">
        <v>870.7366943359375</v>
      </c>
      <c r="K59" s="146">
        <v>707.40521240234375</v>
      </c>
      <c r="L59" s="146">
        <v>1578.1417236328125</v>
      </c>
      <c r="M59" s="146">
        <v>137112.546875</v>
      </c>
      <c r="N59" s="146">
        <v>106125.3828125</v>
      </c>
      <c r="O59" s="146">
        <v>89260.3046875</v>
      </c>
      <c r="P59" s="146">
        <v>195385.734375</v>
      </c>
      <c r="Q59" s="146">
        <v>3898.91552734375</v>
      </c>
      <c r="R59" s="146">
        <v>3068.906494140625</v>
      </c>
      <c r="S59" s="146">
        <v>2487.8564453125</v>
      </c>
      <c r="T59" s="146">
        <v>5556.76318359375</v>
      </c>
      <c r="U59" s="146">
        <v>356343.4375</v>
      </c>
      <c r="V59" s="146">
        <v>247806.828125</v>
      </c>
      <c r="W59" s="146">
        <v>199831.859375</v>
      </c>
      <c r="X59" s="146">
        <v>447638.6875</v>
      </c>
      <c r="Y59" s="146">
        <v>58.930408477783203</v>
      </c>
      <c r="Z59" s="146">
        <v>15962.94921875</v>
      </c>
      <c r="AA59">
        <v>0.44440111517906189</v>
      </c>
      <c r="AB59">
        <v>0.91183286905288696</v>
      </c>
      <c r="AC59">
        <v>0.68605232238769531</v>
      </c>
      <c r="AD59">
        <v>1.5978853702545166</v>
      </c>
      <c r="AE59">
        <v>89.143692016601563</v>
      </c>
      <c r="AF59">
        <v>203.2513427734375</v>
      </c>
      <c r="AG59">
        <v>604.2374267578125</v>
      </c>
      <c r="AH59">
        <v>807.48876953125</v>
      </c>
    </row>
    <row r="60" spans="1:34">
      <c r="A60" s="146" t="s">
        <v>285</v>
      </c>
      <c r="B60" s="146" t="s">
        <v>131</v>
      </c>
      <c r="C60" s="146">
        <v>119.21599999999999</v>
      </c>
      <c r="D60" s="146">
        <v>114.038</v>
      </c>
      <c r="E60" s="146">
        <v>233.25399780273438</v>
      </c>
      <c r="F60" s="146">
        <v>1463.7198486328125</v>
      </c>
      <c r="G60" s="146">
        <v>1484.5572509765625</v>
      </c>
      <c r="H60" s="146">
        <v>2948.277099609375</v>
      </c>
      <c r="I60" s="146">
        <v>3.407362699508667</v>
      </c>
      <c r="J60" s="146">
        <v>18.054597854614258</v>
      </c>
      <c r="K60" s="146">
        <v>16.557510375976563</v>
      </c>
      <c r="L60" s="146">
        <v>34.612110137939453</v>
      </c>
      <c r="M60" s="146">
        <v>842.1341552734375</v>
      </c>
      <c r="N60" s="146">
        <v>2648.438720703125</v>
      </c>
      <c r="O60" s="146">
        <v>2310.867919921875</v>
      </c>
      <c r="P60" s="146">
        <v>4959.3056640625</v>
      </c>
      <c r="Q60" s="146">
        <v>29.424135208129883</v>
      </c>
      <c r="R60" s="146">
        <v>203.20278930664063</v>
      </c>
      <c r="S60" s="146">
        <v>189.85002136230469</v>
      </c>
      <c r="T60" s="146">
        <v>393.05282592773438</v>
      </c>
      <c r="U60" s="146">
        <v>3033.3037109375</v>
      </c>
      <c r="V60" s="146">
        <v>6671.09033203125</v>
      </c>
      <c r="W60" s="146">
        <v>5707.798828125</v>
      </c>
      <c r="X60" s="146">
        <v>12378.888671875</v>
      </c>
      <c r="Y60" s="146">
        <v>4.9283027648925781</v>
      </c>
      <c r="Z60" s="146">
        <v>503.92437744140625</v>
      </c>
      <c r="AA60">
        <v>9.1668469831347466E-3</v>
      </c>
      <c r="AB60">
        <v>3.3821690827608109E-2</v>
      </c>
      <c r="AC60">
        <v>3.3378962427377701E-2</v>
      </c>
      <c r="AD60">
        <v>6.7200660705566406E-2</v>
      </c>
      <c r="AE60">
        <v>38.295772552490234</v>
      </c>
      <c r="AF60">
        <v>322.5614013671875</v>
      </c>
      <c r="AG60">
        <v>457.08602905273438</v>
      </c>
      <c r="AH60">
        <v>779.647705078125</v>
      </c>
    </row>
    <row r="61" spans="1:34">
      <c r="A61" s="146" t="s">
        <v>286</v>
      </c>
      <c r="B61" s="146" t="s">
        <v>132</v>
      </c>
      <c r="C61" s="146">
        <v>556.88800000000003</v>
      </c>
      <c r="D61" s="146">
        <v>530.58900000000006</v>
      </c>
      <c r="E61" s="146">
        <v>1087.47705078125</v>
      </c>
      <c r="F61" s="146">
        <v>5113.21484375</v>
      </c>
      <c r="G61" s="146">
        <v>4988.482421875</v>
      </c>
      <c r="H61" s="146">
        <v>10101.697265625</v>
      </c>
      <c r="I61" s="146">
        <v>99.182502746582031</v>
      </c>
      <c r="J61" s="146">
        <v>78.212303161621094</v>
      </c>
      <c r="K61" s="146">
        <v>73.933982849121094</v>
      </c>
      <c r="L61" s="146">
        <v>152.14628601074219</v>
      </c>
      <c r="M61" s="146">
        <v>12197.33984375</v>
      </c>
      <c r="N61" s="146">
        <v>13610.3955078125</v>
      </c>
      <c r="O61" s="146">
        <v>12772.15234375</v>
      </c>
      <c r="P61" s="146">
        <v>26382.546875</v>
      </c>
      <c r="Q61" s="146">
        <v>319.81716918945313</v>
      </c>
      <c r="R61" s="146">
        <v>481.20721435546875</v>
      </c>
      <c r="S61" s="146">
        <v>456.43954467773438</v>
      </c>
      <c r="T61" s="146">
        <v>937.646728515625</v>
      </c>
      <c r="U61" s="146">
        <v>30081.953125</v>
      </c>
      <c r="V61" s="146">
        <v>29020.333984375</v>
      </c>
      <c r="W61" s="146">
        <v>24376.751953125</v>
      </c>
      <c r="X61" s="146">
        <v>53397.08203125</v>
      </c>
      <c r="Y61" s="146">
        <v>3.960214376449585</v>
      </c>
      <c r="Z61" s="146">
        <v>1165.201904296875</v>
      </c>
      <c r="AA61">
        <v>5.6223839521408081E-2</v>
      </c>
      <c r="AB61">
        <v>8.6669817566871643E-2</v>
      </c>
      <c r="AC61">
        <v>8.7915517389774323E-2</v>
      </c>
      <c r="AD61">
        <v>0.17458535730838776</v>
      </c>
      <c r="AE61">
        <v>23.475622177124023</v>
      </c>
      <c r="AF61">
        <v>92.243316650390625</v>
      </c>
      <c r="AG61">
        <v>171.77507019042969</v>
      </c>
      <c r="AH61">
        <v>264.01837158203125</v>
      </c>
    </row>
    <row r="62" spans="1:34">
      <c r="A62" s="146" t="s">
        <v>287</v>
      </c>
      <c r="B62" s="146" t="s">
        <v>133</v>
      </c>
      <c r="C62" s="146">
        <v>1004.091</v>
      </c>
      <c r="D62" s="146">
        <v>943.625</v>
      </c>
      <c r="E62" s="146">
        <v>1947.7159423828125</v>
      </c>
      <c r="F62" s="146">
        <v>8999.75390625</v>
      </c>
      <c r="G62" s="146">
        <v>9551.673828125</v>
      </c>
      <c r="H62" s="146">
        <v>18551.427734375</v>
      </c>
      <c r="I62" s="146">
        <v>239.16622924804688</v>
      </c>
      <c r="J62" s="146">
        <v>146.79893493652344</v>
      </c>
      <c r="K62" s="146">
        <v>111.00508117675781</v>
      </c>
      <c r="L62" s="146">
        <v>257.80401611328125</v>
      </c>
      <c r="M62" s="146">
        <v>24172.587890625</v>
      </c>
      <c r="N62" s="146">
        <v>23563.798828125</v>
      </c>
      <c r="O62" s="146">
        <v>21242.775390625</v>
      </c>
      <c r="P62" s="146">
        <v>44806.58203125</v>
      </c>
      <c r="Q62" s="146">
        <v>502.4598388671875</v>
      </c>
      <c r="R62" s="146">
        <v>2085.575439453125</v>
      </c>
      <c r="S62" s="146">
        <v>1400.4747314453125</v>
      </c>
      <c r="T62" s="146">
        <v>3486.050048828125</v>
      </c>
      <c r="U62" s="146">
        <v>46839.6484375</v>
      </c>
      <c r="V62" s="146">
        <v>91338.359375</v>
      </c>
      <c r="W62" s="146">
        <v>54607.28125</v>
      </c>
      <c r="X62" s="146">
        <v>145945.640625</v>
      </c>
      <c r="Y62" s="146">
        <v>16.263471603393555</v>
      </c>
      <c r="Z62" s="146">
        <v>2894.177734375</v>
      </c>
      <c r="AA62">
        <v>7.1531444787979126E-2</v>
      </c>
      <c r="AB62">
        <v>0.11431059241294861</v>
      </c>
      <c r="AC62">
        <v>8.7608397006988525E-2</v>
      </c>
      <c r="AD62">
        <v>0.20191901922225952</v>
      </c>
      <c r="AE62">
        <v>49.530067443847656</v>
      </c>
      <c r="AF62">
        <v>160.80586242675781</v>
      </c>
      <c r="AG62">
        <v>587.9881591796875</v>
      </c>
      <c r="AH62">
        <v>748.79400634765625</v>
      </c>
    </row>
    <row r="63" spans="1:34">
      <c r="A63" s="146" t="s">
        <v>288</v>
      </c>
      <c r="B63" s="146" t="s">
        <v>134</v>
      </c>
      <c r="C63" s="146">
        <v>3538.5650000000001</v>
      </c>
      <c r="D63" s="146">
        <v>3470.8850000000002</v>
      </c>
      <c r="E63" s="146">
        <v>7009.4501953125</v>
      </c>
      <c r="F63" s="146">
        <v>26122.38671875</v>
      </c>
      <c r="G63" s="146">
        <v>26451.583984375</v>
      </c>
      <c r="H63" s="146">
        <v>52573.96875</v>
      </c>
      <c r="I63" s="146">
        <v>3630.897216796875</v>
      </c>
      <c r="J63" s="146">
        <v>8548.962890625</v>
      </c>
      <c r="K63" s="146">
        <v>6870.87158203125</v>
      </c>
      <c r="L63" s="146">
        <v>15419.833984375</v>
      </c>
      <c r="M63" s="146">
        <v>342873.28125</v>
      </c>
      <c r="N63" s="146">
        <v>517965.6875</v>
      </c>
      <c r="O63" s="146">
        <v>415978.65625</v>
      </c>
      <c r="P63" s="146">
        <v>933944.3125</v>
      </c>
      <c r="Q63" s="146">
        <v>8876.408203125</v>
      </c>
      <c r="R63" s="146">
        <v>12218.3203125</v>
      </c>
      <c r="S63" s="146">
        <v>10454.8154296875</v>
      </c>
      <c r="T63" s="146">
        <v>22673.13671875</v>
      </c>
      <c r="U63" s="146">
        <v>803416.875</v>
      </c>
      <c r="V63" s="146">
        <v>723197.8125</v>
      </c>
      <c r="W63" s="146">
        <v>600575.75</v>
      </c>
      <c r="X63" s="146">
        <v>1323773.75</v>
      </c>
      <c r="Y63" s="146">
        <v>2088.65478515625</v>
      </c>
      <c r="Z63" s="146">
        <v>195690.484375</v>
      </c>
      <c r="AA63">
        <v>4.5386419296264648</v>
      </c>
      <c r="AB63">
        <v>4.8102507591247559</v>
      </c>
      <c r="AC63">
        <v>4.1962952613830566</v>
      </c>
      <c r="AD63">
        <v>9.0065469741821289</v>
      </c>
      <c r="AE63">
        <v>1454.439697265625</v>
      </c>
      <c r="AF63">
        <v>6220.12548828125</v>
      </c>
      <c r="AG63">
        <v>8213.31640625</v>
      </c>
      <c r="AH63">
        <v>14433.439453125</v>
      </c>
    </row>
    <row r="64" spans="1:34">
      <c r="A64" s="146" t="s">
        <v>291</v>
      </c>
      <c r="B64" s="146" t="s">
        <v>137</v>
      </c>
      <c r="C64" s="146">
        <v>7.7130000000000001</v>
      </c>
      <c r="D64" s="146">
        <v>7.2460000000000004</v>
      </c>
      <c r="E64" s="146">
        <v>14.958999633789063</v>
      </c>
      <c r="F64" s="146">
        <v>57.821994781494141</v>
      </c>
      <c r="G64" s="146">
        <v>59.785999298095703</v>
      </c>
      <c r="H64" s="146">
        <v>117.60799407958984</v>
      </c>
      <c r="I64" s="146">
        <v>10.739105224609375</v>
      </c>
      <c r="J64" s="146">
        <v>20.493877410888672</v>
      </c>
      <c r="K64" s="146">
        <v>33.919891357421875</v>
      </c>
      <c r="L64" s="146">
        <v>54.413768768310547</v>
      </c>
      <c r="M64" s="146">
        <v>1008.7088623046875</v>
      </c>
      <c r="N64" s="146">
        <v>1250.949462890625</v>
      </c>
      <c r="O64" s="146">
        <v>1225.326171875</v>
      </c>
      <c r="P64" s="146">
        <v>2476.275634765625</v>
      </c>
      <c r="Q64" s="146">
        <v>23.417064666748047</v>
      </c>
      <c r="R64" s="146">
        <v>29.546314239501953</v>
      </c>
      <c r="S64" s="146">
        <v>27.157472610473633</v>
      </c>
      <c r="T64" s="146">
        <v>56.703784942626953</v>
      </c>
      <c r="U64" s="146">
        <v>2107.701171875</v>
      </c>
      <c r="V64" s="146">
        <v>1910.2392578125</v>
      </c>
      <c r="W64" s="146">
        <v>1525.777587890625</v>
      </c>
      <c r="X64" s="146">
        <v>3436.017333984375</v>
      </c>
      <c r="Y64" s="146">
        <v>5.6487116813659668</v>
      </c>
      <c r="Z64" s="146">
        <v>547.225830078125</v>
      </c>
      <c r="AA64">
        <v>1.5058734454214573E-2</v>
      </c>
      <c r="AB64">
        <v>3.0591987073421478E-2</v>
      </c>
      <c r="AC64">
        <v>3.2837290316820145E-2</v>
      </c>
      <c r="AD64">
        <v>6.3429273664951324E-2</v>
      </c>
      <c r="AE64">
        <v>7.2767729759216309</v>
      </c>
      <c r="AF64">
        <v>55.933486938476563</v>
      </c>
      <c r="AG64">
        <v>60.747310638427734</v>
      </c>
      <c r="AH64">
        <v>116.6807861328125</v>
      </c>
    </row>
    <row r="65" spans="1:34">
      <c r="A65" s="146" t="s">
        <v>289</v>
      </c>
      <c r="B65" s="146" t="s">
        <v>135</v>
      </c>
      <c r="C65" s="146">
        <v>396.51499999999999</v>
      </c>
      <c r="D65" s="146">
        <v>376.06099999999998</v>
      </c>
      <c r="E65" s="146">
        <v>772.57598876953125</v>
      </c>
      <c r="F65" s="146">
        <v>3173.90234375</v>
      </c>
      <c r="G65" s="146">
        <v>3241.948486328125</v>
      </c>
      <c r="H65" s="146">
        <v>6415.8505859375</v>
      </c>
      <c r="I65" s="146">
        <v>73.205657958984375</v>
      </c>
      <c r="J65" s="146">
        <v>49.192966461181641</v>
      </c>
      <c r="K65" s="146">
        <v>38.519676208496094</v>
      </c>
      <c r="L65" s="146">
        <v>87.712631225585938</v>
      </c>
      <c r="M65" s="146">
        <v>7736.314453125</v>
      </c>
      <c r="N65" s="146">
        <v>8477.658203125</v>
      </c>
      <c r="O65" s="146">
        <v>7709.1904296875</v>
      </c>
      <c r="P65" s="146">
        <v>16186.8505859375</v>
      </c>
      <c r="Q65" s="146">
        <v>416.46817016601563</v>
      </c>
      <c r="R65" s="146">
        <v>406.98995971679688</v>
      </c>
      <c r="S65" s="146">
        <v>307.41824340820313</v>
      </c>
      <c r="T65" s="146">
        <v>714.4083251953125</v>
      </c>
      <c r="U65" s="146">
        <v>37775</v>
      </c>
      <c r="V65" s="146">
        <v>31114.126953125</v>
      </c>
      <c r="W65" s="146">
        <v>23211.73828125</v>
      </c>
      <c r="X65" s="146">
        <v>54325.85546875</v>
      </c>
      <c r="Y65" s="146">
        <v>0.56615424156188965</v>
      </c>
      <c r="Z65" s="146">
        <v>249.51751708984375</v>
      </c>
      <c r="AA65">
        <v>2.5627328082919121E-2</v>
      </c>
      <c r="AB65">
        <v>5.0474308431148529E-2</v>
      </c>
      <c r="AC65">
        <v>3.628230094909668E-2</v>
      </c>
      <c r="AD65">
        <v>8.6756601929664612E-2</v>
      </c>
      <c r="AE65">
        <v>55.050754547119141</v>
      </c>
      <c r="AF65">
        <v>183.1177978515625</v>
      </c>
      <c r="AG65">
        <v>399.16839599609375</v>
      </c>
      <c r="AH65">
        <v>582.28607177734375</v>
      </c>
    </row>
    <row r="66" spans="1:34">
      <c r="A66" s="146" t="s">
        <v>292</v>
      </c>
      <c r="B66" s="146" t="s">
        <v>138</v>
      </c>
      <c r="C66" s="146">
        <v>405.08800000000002</v>
      </c>
      <c r="D66" s="146">
        <v>389.22699999999998</v>
      </c>
      <c r="E66" s="146">
        <v>794.31500244140625</v>
      </c>
      <c r="F66" s="146">
        <v>3599.02783203125</v>
      </c>
      <c r="G66" s="146">
        <v>3570.427978515625</v>
      </c>
      <c r="H66" s="146">
        <v>7169.4560546875</v>
      </c>
      <c r="I66" s="146">
        <v>716.811279296875</v>
      </c>
      <c r="J66" s="146">
        <v>817.2255859375</v>
      </c>
      <c r="K66" s="146">
        <v>734.29205322265625</v>
      </c>
      <c r="L66" s="146">
        <v>1551.517822265625</v>
      </c>
      <c r="M66" s="146">
        <v>65876.09375</v>
      </c>
      <c r="N66" s="146">
        <v>55981.3671875</v>
      </c>
      <c r="O66" s="146">
        <v>44981.984375</v>
      </c>
      <c r="P66" s="146">
        <v>100963.3671875</v>
      </c>
      <c r="Q66" s="146">
        <v>1086.0213623046875</v>
      </c>
      <c r="R66" s="146">
        <v>1448.7381591796875</v>
      </c>
      <c r="S66" s="146">
        <v>1376.0462646484375</v>
      </c>
      <c r="T66" s="146">
        <v>2824.784423828125</v>
      </c>
      <c r="U66" s="146">
        <v>98421.34375</v>
      </c>
      <c r="V66" s="146">
        <v>82075.5</v>
      </c>
      <c r="W66" s="146">
        <v>70086.0859375</v>
      </c>
      <c r="X66" s="146">
        <v>152161.59375</v>
      </c>
      <c r="Y66" s="146">
        <v>55.716495513916016</v>
      </c>
      <c r="Z66" s="146">
        <v>6550.82666015625</v>
      </c>
      <c r="AA66">
        <v>0.88897484540939331</v>
      </c>
      <c r="AB66">
        <v>1.1725760698318481</v>
      </c>
      <c r="AC66">
        <v>1.1799010038375854</v>
      </c>
      <c r="AD66">
        <v>2.3524773120880127</v>
      </c>
      <c r="AE66">
        <v>579.9541015625</v>
      </c>
      <c r="AF66">
        <v>2637.506103515625</v>
      </c>
      <c r="AG66">
        <v>4608.00439453125</v>
      </c>
      <c r="AH66">
        <v>7245.5107421875</v>
      </c>
    </row>
    <row r="67" spans="1:34">
      <c r="A67" s="146" t="s">
        <v>293</v>
      </c>
      <c r="B67" s="146" t="s">
        <v>139</v>
      </c>
      <c r="C67" s="146">
        <v>303.32900000000001</v>
      </c>
      <c r="D67" s="146">
        <v>288.58800000000002</v>
      </c>
      <c r="E67" s="146">
        <v>591.9169921875</v>
      </c>
      <c r="F67" s="146">
        <v>3449.246337890625</v>
      </c>
      <c r="G67" s="146">
        <v>3406.462890625</v>
      </c>
      <c r="H67" s="146">
        <v>6855.708984375</v>
      </c>
      <c r="I67" s="146">
        <v>22.591222763061523</v>
      </c>
      <c r="J67" s="146">
        <v>40.589977264404297</v>
      </c>
      <c r="K67" s="146">
        <v>40.324790954589844</v>
      </c>
      <c r="L67" s="146">
        <v>80.914764404296875</v>
      </c>
      <c r="M67" s="146">
        <v>4351.99462890625</v>
      </c>
      <c r="N67" s="146">
        <v>8380.8046875</v>
      </c>
      <c r="O67" s="146">
        <v>7722.72802734375</v>
      </c>
      <c r="P67" s="146">
        <v>16103.533203125</v>
      </c>
      <c r="Q67" s="146">
        <v>53.685825347900391</v>
      </c>
      <c r="R67" s="146">
        <v>559.5299072265625</v>
      </c>
      <c r="S67" s="146">
        <v>372.0965576171875</v>
      </c>
      <c r="T67" s="146">
        <v>931.62646484375</v>
      </c>
      <c r="U67" s="146">
        <v>5799.41357421875</v>
      </c>
      <c r="V67" s="146">
        <v>16562.82421875</v>
      </c>
      <c r="W67" s="146">
        <v>11924.3408203125</v>
      </c>
      <c r="X67" s="146">
        <v>28487.1640625</v>
      </c>
      <c r="Y67" s="146">
        <v>0.38796302676200867</v>
      </c>
      <c r="Z67" s="146">
        <v>702.9622802734375</v>
      </c>
      <c r="AA67">
        <v>5.3534605540335178E-3</v>
      </c>
      <c r="AB67">
        <v>6.1379007995128632E-2</v>
      </c>
      <c r="AC67">
        <v>4.4996514916419983E-2</v>
      </c>
      <c r="AD67">
        <v>0.10637552291154861</v>
      </c>
      <c r="AE67">
        <v>1.9652286767959595</v>
      </c>
      <c r="AF67">
        <v>10.300579071044922</v>
      </c>
      <c r="AG67">
        <v>19.250495910644531</v>
      </c>
      <c r="AH67">
        <v>29.551078796386719</v>
      </c>
    </row>
    <row r="68" spans="1:34">
      <c r="A68" s="146" t="s">
        <v>298</v>
      </c>
      <c r="B68" s="146" t="s">
        <v>144</v>
      </c>
      <c r="C68" s="146">
        <v>127.32299999999999</v>
      </c>
      <c r="D68" s="146">
        <v>125.626</v>
      </c>
      <c r="E68" s="146">
        <v>252.94900512695313</v>
      </c>
      <c r="F68" s="146">
        <v>1047.944091796875</v>
      </c>
      <c r="G68" s="146">
        <v>1077.3228759765625</v>
      </c>
      <c r="H68" s="146">
        <v>2125.26708984375</v>
      </c>
      <c r="I68" s="146">
        <v>438.71310424804688</v>
      </c>
      <c r="J68" s="146">
        <v>1249.8135986328125</v>
      </c>
      <c r="K68" s="146">
        <v>1104.32421875</v>
      </c>
      <c r="L68" s="146">
        <v>2354.1376953125</v>
      </c>
      <c r="M68" s="146">
        <v>40016.6875</v>
      </c>
      <c r="N68" s="146">
        <v>61697.125</v>
      </c>
      <c r="O68" s="146">
        <v>52883.33984375</v>
      </c>
      <c r="P68" s="146">
        <v>114580.4609375</v>
      </c>
      <c r="Q68" s="146">
        <v>554.62322998046875</v>
      </c>
      <c r="R68" s="146">
        <v>1748.354248046875</v>
      </c>
      <c r="S68" s="146">
        <v>1485.2261962890625</v>
      </c>
      <c r="T68" s="146">
        <v>3233.580322265625</v>
      </c>
      <c r="U68" s="146">
        <v>49871.56640625</v>
      </c>
      <c r="V68" s="146">
        <v>83210.65625</v>
      </c>
      <c r="W68" s="146">
        <v>68596.6953125</v>
      </c>
      <c r="X68" s="146">
        <v>151807.359375</v>
      </c>
      <c r="Y68" s="146">
        <v>202.33924865722656</v>
      </c>
      <c r="Z68" s="146">
        <v>18205.208984375</v>
      </c>
      <c r="AA68">
        <v>0.31871068477630615</v>
      </c>
      <c r="AB68">
        <v>0.3880842924118042</v>
      </c>
      <c r="AC68">
        <v>0.34494158625602722</v>
      </c>
      <c r="AD68">
        <v>0.73302590847015381</v>
      </c>
      <c r="AE68">
        <v>38.125350952148438</v>
      </c>
      <c r="AF68">
        <v>93.522018432617188</v>
      </c>
      <c r="AG68">
        <v>145.74427795410156</v>
      </c>
      <c r="AH68">
        <v>239.266357421875</v>
      </c>
    </row>
    <row r="69" spans="1:34">
      <c r="A69" s="146" t="s">
        <v>294</v>
      </c>
      <c r="B69" s="146" t="s">
        <v>140</v>
      </c>
      <c r="C69" s="146">
        <v>372.69900000000001</v>
      </c>
      <c r="D69" s="146">
        <v>357.452</v>
      </c>
      <c r="E69" s="146">
        <v>730.1510009765625</v>
      </c>
      <c r="F69" s="146">
        <v>2481.11572265625</v>
      </c>
      <c r="G69" s="146">
        <v>2456.258056640625</v>
      </c>
      <c r="H69" s="146">
        <v>4937.3740234375</v>
      </c>
      <c r="I69" s="146">
        <v>612.72772216796875</v>
      </c>
      <c r="J69" s="146">
        <v>803.991455078125</v>
      </c>
      <c r="K69" s="146">
        <v>787.74127197265625</v>
      </c>
      <c r="L69" s="146">
        <v>1591.7327880859375</v>
      </c>
      <c r="M69" s="146">
        <v>57178.171875</v>
      </c>
      <c r="N69" s="146">
        <v>54539.75</v>
      </c>
      <c r="O69" s="146">
        <v>46422.94140625</v>
      </c>
      <c r="P69" s="146">
        <v>100962.671875</v>
      </c>
      <c r="Q69" s="146">
        <v>1388.889892578125</v>
      </c>
      <c r="R69" s="146">
        <v>1408.5948486328125</v>
      </c>
      <c r="S69" s="146">
        <v>1286.9234619140625</v>
      </c>
      <c r="T69" s="146">
        <v>2695.518310546875</v>
      </c>
      <c r="U69" s="146">
        <v>124967.3125</v>
      </c>
      <c r="V69" s="146">
        <v>92388.921875</v>
      </c>
      <c r="W69" s="146">
        <v>74731.515625</v>
      </c>
      <c r="X69" s="146">
        <v>167120.4375</v>
      </c>
      <c r="Y69" s="146">
        <v>199.27424621582031</v>
      </c>
      <c r="Z69" s="146">
        <v>18631.0703125</v>
      </c>
      <c r="AA69">
        <v>2.6296923160552979</v>
      </c>
      <c r="AB69">
        <v>1.8683755397796631</v>
      </c>
      <c r="AC69">
        <v>1.8698328733444214</v>
      </c>
      <c r="AD69">
        <v>3.7382080554962158</v>
      </c>
      <c r="AE69">
        <v>519.8863525390625</v>
      </c>
      <c r="AF69">
        <v>1339.7449951171875</v>
      </c>
      <c r="AG69">
        <v>1616.2098388671875</v>
      </c>
      <c r="AH69">
        <v>2955.9541015625</v>
      </c>
    </row>
    <row r="70" spans="1:34">
      <c r="A70" s="146" t="s">
        <v>295</v>
      </c>
      <c r="B70" s="146" t="s">
        <v>141</v>
      </c>
      <c r="C70" s="146">
        <v>325.12200000000001</v>
      </c>
      <c r="D70" s="146">
        <v>307.83999999999997</v>
      </c>
      <c r="E70" s="146">
        <v>632.96197509765625</v>
      </c>
      <c r="F70" s="146">
        <v>3422.618896484375</v>
      </c>
      <c r="G70" s="146">
        <v>3354.83349609375</v>
      </c>
      <c r="H70" s="146">
        <v>6777.4521484375</v>
      </c>
      <c r="I70" s="146">
        <v>32.486846923828125</v>
      </c>
      <c r="J70" s="146">
        <v>48.585647583007813</v>
      </c>
      <c r="K70" s="146">
        <v>42.915813446044922</v>
      </c>
      <c r="L70" s="146">
        <v>91.501472473144531</v>
      </c>
      <c r="M70" s="146">
        <v>5291.14892578125</v>
      </c>
      <c r="N70" s="146">
        <v>9264.6123046875</v>
      </c>
      <c r="O70" s="146">
        <v>8449.150390625</v>
      </c>
      <c r="P70" s="146">
        <v>17713.759765625</v>
      </c>
      <c r="Q70" s="146">
        <v>101.0142822265625</v>
      </c>
      <c r="R70" s="146">
        <v>378.72207641601563</v>
      </c>
      <c r="S70" s="146">
        <v>364.997314453125</v>
      </c>
      <c r="T70" s="146">
        <v>743.719482421875</v>
      </c>
      <c r="U70" s="146">
        <v>10070.888671875</v>
      </c>
      <c r="V70" s="146">
        <v>18289.220703125</v>
      </c>
      <c r="W70" s="146">
        <v>15597.9814453125</v>
      </c>
      <c r="X70" s="146">
        <v>33887.20703125</v>
      </c>
      <c r="Y70" s="146">
        <v>0.82306534051895142</v>
      </c>
      <c r="Z70" s="146">
        <v>644.07861328125</v>
      </c>
      <c r="AA70">
        <v>1.2731656432151794E-2</v>
      </c>
      <c r="AB70">
        <v>0.10560691356658936</v>
      </c>
      <c r="AC70">
        <v>0.11164287477731705</v>
      </c>
      <c r="AD70">
        <v>0.21724978089332581</v>
      </c>
      <c r="AE70">
        <v>7.8199176788330078</v>
      </c>
      <c r="AF70">
        <v>34.912609100341797</v>
      </c>
      <c r="AG70">
        <v>96.206802368164063</v>
      </c>
      <c r="AH70">
        <v>131.11940002441406</v>
      </c>
    </row>
    <row r="71" spans="1:34">
      <c r="A71" s="146" t="s">
        <v>301</v>
      </c>
      <c r="B71" s="146" t="s">
        <v>147</v>
      </c>
      <c r="C71" s="146">
        <v>2034.999</v>
      </c>
      <c r="D71" s="146">
        <v>1987.643</v>
      </c>
      <c r="E71" s="146">
        <v>4022.64208984375</v>
      </c>
      <c r="F71" s="146">
        <v>13452.9267578125</v>
      </c>
      <c r="G71" s="146">
        <v>13516.375</v>
      </c>
      <c r="H71" s="146">
        <v>26969.30078125</v>
      </c>
      <c r="I71" s="146">
        <v>2328.8779296875</v>
      </c>
      <c r="J71" s="146">
        <v>6188.7353515625</v>
      </c>
      <c r="K71" s="146">
        <v>4896.2802734375</v>
      </c>
      <c r="L71" s="146">
        <v>11085.0166015625</v>
      </c>
      <c r="M71" s="146">
        <v>223040.625</v>
      </c>
      <c r="N71" s="146">
        <v>395452.71875</v>
      </c>
      <c r="O71" s="146">
        <v>286241.4375</v>
      </c>
      <c r="P71" s="146">
        <v>681694.125</v>
      </c>
      <c r="Q71" s="146">
        <v>5463.8525390625</v>
      </c>
      <c r="R71" s="146">
        <v>7126.994140625</v>
      </c>
      <c r="S71" s="146">
        <v>7536.73583984375</v>
      </c>
      <c r="T71" s="146">
        <v>14663.7294921875</v>
      </c>
      <c r="U71" s="146">
        <v>493489.34375</v>
      </c>
      <c r="V71" s="146">
        <v>402294.46875</v>
      </c>
      <c r="W71" s="146">
        <v>431297.59375</v>
      </c>
      <c r="X71" s="146">
        <v>833592.0625</v>
      </c>
      <c r="Y71" s="146">
        <v>1324.9027099609375</v>
      </c>
      <c r="Z71" s="146">
        <v>131056.8515625</v>
      </c>
      <c r="AA71">
        <v>1.8236956596374512</v>
      </c>
      <c r="AB71">
        <v>2.7371540069580078</v>
      </c>
      <c r="AC71">
        <v>2.677767276763916</v>
      </c>
      <c r="AD71">
        <v>5.4149208068847656</v>
      </c>
      <c r="AE71">
        <v>1910.3001708984375</v>
      </c>
      <c r="AF71">
        <v>9087.1435546875</v>
      </c>
      <c r="AG71">
        <v>13778.9765625</v>
      </c>
      <c r="AH71">
        <v>22866.12109375</v>
      </c>
    </row>
    <row r="72" spans="1:34">
      <c r="A72" s="146" t="s">
        <v>312</v>
      </c>
      <c r="B72" s="146" t="s">
        <v>158</v>
      </c>
      <c r="C72" s="146">
        <v>1453.5550000000001</v>
      </c>
      <c r="D72" s="146">
        <v>1423.558</v>
      </c>
      <c r="E72" s="146">
        <v>2877.113037109375</v>
      </c>
      <c r="F72" s="146">
        <v>9185.279296875</v>
      </c>
      <c r="G72" s="146">
        <v>9443.470703125</v>
      </c>
      <c r="H72" s="146">
        <v>18628.75</v>
      </c>
      <c r="I72" s="146">
        <v>1392.2259521484375</v>
      </c>
      <c r="J72" s="146">
        <v>3369.764892578125</v>
      </c>
      <c r="K72" s="146">
        <v>2412.11865234375</v>
      </c>
      <c r="L72" s="146">
        <v>5781.8837890625</v>
      </c>
      <c r="M72" s="146">
        <v>136356.5</v>
      </c>
      <c r="N72" s="146">
        <v>200277.953125</v>
      </c>
      <c r="O72" s="146">
        <v>139883</v>
      </c>
      <c r="P72" s="146">
        <v>340160.96875</v>
      </c>
      <c r="Q72" s="146">
        <v>3260.23486328125</v>
      </c>
      <c r="R72" s="146">
        <v>4569.4853515625</v>
      </c>
      <c r="S72" s="146">
        <v>3234.156494140625</v>
      </c>
      <c r="T72" s="146">
        <v>7803.6416015625</v>
      </c>
      <c r="U72" s="146">
        <v>295143.5</v>
      </c>
      <c r="V72" s="146">
        <v>268372.15625</v>
      </c>
      <c r="W72" s="146">
        <v>186031.25</v>
      </c>
      <c r="X72" s="146">
        <v>454403.4375</v>
      </c>
      <c r="Y72" s="146">
        <v>690.203369140625</v>
      </c>
      <c r="Z72" s="146">
        <v>62917.85546875</v>
      </c>
      <c r="AA72">
        <v>2.4370019435882568</v>
      </c>
      <c r="AB72">
        <v>2.6213517189025879</v>
      </c>
      <c r="AC72">
        <v>1.5684158802032471</v>
      </c>
      <c r="AD72">
        <v>4.1897668838500977</v>
      </c>
      <c r="AE72">
        <v>506.42605590820313</v>
      </c>
      <c r="AF72">
        <v>1445.88720703125</v>
      </c>
      <c r="AG72">
        <v>2943.6103515625</v>
      </c>
      <c r="AH72">
        <v>4389.4990234375</v>
      </c>
    </row>
    <row r="73" spans="1:34">
      <c r="A73" s="146" t="s">
        <v>313</v>
      </c>
      <c r="B73" s="146" t="s">
        <v>159</v>
      </c>
      <c r="C73" s="146">
        <v>1349.048</v>
      </c>
      <c r="D73" s="146">
        <v>1271.2329999999999</v>
      </c>
      <c r="E73" s="146">
        <v>2620.281005859375</v>
      </c>
      <c r="F73" s="146">
        <v>16423.166015625</v>
      </c>
      <c r="G73" s="146">
        <v>15526.625</v>
      </c>
      <c r="H73" s="146">
        <v>31949.791015625</v>
      </c>
      <c r="I73" s="146">
        <v>65.318954467773438</v>
      </c>
      <c r="J73" s="146">
        <v>960.81988525390625</v>
      </c>
      <c r="K73" s="146">
        <v>811.795166015625</v>
      </c>
      <c r="L73" s="146">
        <v>1772.614990234375</v>
      </c>
      <c r="M73" s="146">
        <v>13989.99609375</v>
      </c>
      <c r="N73" s="146">
        <v>51681.54296875</v>
      </c>
      <c r="O73" s="146">
        <v>40821.7109375</v>
      </c>
      <c r="P73" s="146">
        <v>92503.2578125</v>
      </c>
      <c r="Q73" s="146">
        <v>241.02931213378906</v>
      </c>
      <c r="R73" s="146">
        <v>13203.734375</v>
      </c>
      <c r="S73" s="146">
        <v>10281.6865234375</v>
      </c>
      <c r="T73" s="146">
        <v>23485.423828125</v>
      </c>
      <c r="U73" s="146">
        <v>26066.078125</v>
      </c>
      <c r="V73" s="146">
        <v>318669.125</v>
      </c>
      <c r="W73" s="146">
        <v>222099.4375</v>
      </c>
      <c r="X73" s="146">
        <v>540768.5625</v>
      </c>
      <c r="Y73" s="146">
        <v>2.6909875869750977</v>
      </c>
      <c r="Z73" s="146">
        <v>8121.89208984375</v>
      </c>
      <c r="AA73">
        <v>7.7699616551399231E-2</v>
      </c>
      <c r="AB73">
        <v>1.0698634386062622</v>
      </c>
      <c r="AC73">
        <v>0.92280590534210205</v>
      </c>
      <c r="AD73">
        <v>1.9926693439483643</v>
      </c>
      <c r="AE73">
        <v>576.437255859375</v>
      </c>
      <c r="AF73">
        <v>7999.41796875</v>
      </c>
      <c r="AG73">
        <v>8045.46826171875</v>
      </c>
      <c r="AH73">
        <v>16044.884765625</v>
      </c>
    </row>
    <row r="74" spans="1:34">
      <c r="A74" s="146" t="s">
        <v>302</v>
      </c>
      <c r="B74" s="146" t="s">
        <v>148</v>
      </c>
      <c r="C74" s="146">
        <v>19.052</v>
      </c>
      <c r="D74" s="146">
        <v>17.39</v>
      </c>
      <c r="E74" s="146">
        <v>36.442001342773438</v>
      </c>
      <c r="F74" s="146">
        <v>336.07003784179688</v>
      </c>
      <c r="G74" s="146">
        <v>194.88700866699219</v>
      </c>
      <c r="H74" s="146">
        <v>530.95703125</v>
      </c>
      <c r="I74" s="146">
        <v>0.64400798082351685</v>
      </c>
      <c r="J74" s="146">
        <v>8.5574827194213867</v>
      </c>
      <c r="K74" s="146">
        <v>5.793665885925293</v>
      </c>
      <c r="L74" s="146">
        <v>14.35114574432373</v>
      </c>
      <c r="M74" s="146">
        <v>179.56495666503906</v>
      </c>
      <c r="N74" s="146">
        <v>685.279052734375</v>
      </c>
      <c r="O74" s="146">
        <v>425.8565673828125</v>
      </c>
      <c r="P74" s="146">
        <v>1111.1356201171875</v>
      </c>
      <c r="Q74" s="146">
        <v>3.5552008152008057</v>
      </c>
      <c r="R74" s="146">
        <v>16.865339279174805</v>
      </c>
      <c r="S74" s="146">
        <v>16.197849273681641</v>
      </c>
      <c r="T74" s="146">
        <v>33.063186645507813</v>
      </c>
      <c r="U74" s="146">
        <v>378.91696166992188</v>
      </c>
      <c r="V74" s="146">
        <v>834.90655517578125</v>
      </c>
      <c r="W74" s="146">
        <v>608.1182861328125</v>
      </c>
      <c r="X74" s="146">
        <v>1443.0247802734375</v>
      </c>
      <c r="Y74" s="146">
        <v>4.5540332794189453E-2</v>
      </c>
      <c r="Z74" s="146">
        <v>183.62751770019531</v>
      </c>
      <c r="AA74">
        <v>2.3259841836988926E-3</v>
      </c>
      <c r="AB74">
        <v>2.1478282287716866E-2</v>
      </c>
      <c r="AC74">
        <v>1.5113824047148228E-2</v>
      </c>
      <c r="AD74">
        <v>3.6592103540897369E-2</v>
      </c>
      <c r="AE74">
        <v>0.92615187168121338</v>
      </c>
      <c r="AF74">
        <v>3.9843928813934326</v>
      </c>
      <c r="AG74">
        <v>7.2663722038269043</v>
      </c>
      <c r="AH74">
        <v>11.250765800476074</v>
      </c>
    </row>
    <row r="75" spans="1:34">
      <c r="A75" s="146" t="s">
        <v>305</v>
      </c>
      <c r="B75" s="146" t="s">
        <v>151</v>
      </c>
      <c r="C75" s="146">
        <v>1796.424</v>
      </c>
      <c r="D75" s="146">
        <v>1735.6859999999999</v>
      </c>
      <c r="E75" s="146">
        <v>3532.110107421875</v>
      </c>
      <c r="F75" s="146">
        <v>9844.5380859375</v>
      </c>
      <c r="G75" s="146">
        <v>9813.484375</v>
      </c>
      <c r="H75" s="146">
        <v>19658.0234375</v>
      </c>
      <c r="I75" s="146">
        <v>6185.61376953125</v>
      </c>
      <c r="J75" s="146">
        <v>7546.0859375</v>
      </c>
      <c r="K75" s="146">
        <v>5873.263671875</v>
      </c>
      <c r="L75" s="146">
        <v>13419.349609375</v>
      </c>
      <c r="M75" s="146">
        <v>559791.3125</v>
      </c>
      <c r="N75" s="146">
        <v>521190.65625</v>
      </c>
      <c r="O75" s="146">
        <v>404824.125</v>
      </c>
      <c r="P75" s="146">
        <v>926014.8125</v>
      </c>
      <c r="Q75" s="146">
        <v>11821.5712890625</v>
      </c>
      <c r="R75" s="146">
        <v>8012.98486328125</v>
      </c>
      <c r="S75" s="146">
        <v>6902.78271484375</v>
      </c>
      <c r="T75" s="146">
        <v>14915.7646484375</v>
      </c>
      <c r="U75" s="146">
        <v>1053494</v>
      </c>
      <c r="V75" s="146">
        <v>644822.375</v>
      </c>
      <c r="W75" s="146">
        <v>543704.6875</v>
      </c>
      <c r="X75" s="146">
        <v>1188527.125</v>
      </c>
      <c r="Y75" s="146">
        <v>3487.72021484375</v>
      </c>
      <c r="Z75" s="146">
        <v>317687.71875</v>
      </c>
      <c r="AA75">
        <v>26.007167816162109</v>
      </c>
      <c r="AB75">
        <v>26.695140838623047</v>
      </c>
      <c r="AC75">
        <v>29.584774017333984</v>
      </c>
      <c r="AD75">
        <v>56.279911041259766</v>
      </c>
      <c r="AE75">
        <v>3232.538330078125</v>
      </c>
      <c r="AF75">
        <v>5567.6103515625</v>
      </c>
      <c r="AG75">
        <v>9129.2236328125</v>
      </c>
      <c r="AH75">
        <v>14696.833984375</v>
      </c>
    </row>
    <row r="76" spans="1:34">
      <c r="A76" s="146" t="s">
        <v>310</v>
      </c>
      <c r="B76" s="146" t="s">
        <v>156</v>
      </c>
      <c r="C76" s="146">
        <v>345.71</v>
      </c>
      <c r="D76" s="146">
        <v>333.3</v>
      </c>
      <c r="E76" s="146">
        <v>679.010009765625</v>
      </c>
      <c r="F76" s="146">
        <v>2271.84326171875</v>
      </c>
      <c r="G76" s="146">
        <v>2253.855224609375</v>
      </c>
      <c r="H76" s="146">
        <v>4525.6982421875</v>
      </c>
      <c r="I76" s="146">
        <v>954.78436279296875</v>
      </c>
      <c r="J76" s="146">
        <v>907.62628173828125</v>
      </c>
      <c r="K76" s="146">
        <v>748.78369140625</v>
      </c>
      <c r="L76" s="146">
        <v>1656.41015625</v>
      </c>
      <c r="M76" s="146">
        <v>87899.4921875</v>
      </c>
      <c r="N76" s="146">
        <v>68491.3046875</v>
      </c>
      <c r="O76" s="146">
        <v>55178.16796875</v>
      </c>
      <c r="P76" s="146">
        <v>123669.4609375</v>
      </c>
      <c r="Q76" s="146">
        <v>1589.8118896484375</v>
      </c>
      <c r="R76" s="146">
        <v>1412.79150390625</v>
      </c>
      <c r="S76" s="146">
        <v>1345.3328857421875</v>
      </c>
      <c r="T76" s="146">
        <v>2758.1240234375</v>
      </c>
      <c r="U76" s="146">
        <v>142067.984375</v>
      </c>
      <c r="V76" s="146">
        <v>95783.1171875</v>
      </c>
      <c r="W76" s="146">
        <v>80621.765625</v>
      </c>
      <c r="X76" s="146">
        <v>176404.890625</v>
      </c>
      <c r="Y76" s="146">
        <v>283.1678466796875</v>
      </c>
      <c r="Z76" s="146">
        <v>27101.330078125</v>
      </c>
      <c r="AA76">
        <v>2.1173198223114014</v>
      </c>
      <c r="AB76">
        <v>1.3733341693878174</v>
      </c>
      <c r="AC76">
        <v>1.2799687385559082</v>
      </c>
      <c r="AD76">
        <v>2.6533026695251465</v>
      </c>
      <c r="AE76">
        <v>324.27899169921875</v>
      </c>
      <c r="AF76">
        <v>546.22412109375</v>
      </c>
      <c r="AG76">
        <v>1210.4449462890625</v>
      </c>
      <c r="AH76">
        <v>1756.66943359375</v>
      </c>
    </row>
    <row r="77" spans="1:34">
      <c r="A77" s="146" t="s">
        <v>311</v>
      </c>
      <c r="B77" s="146" t="s">
        <v>157</v>
      </c>
      <c r="C77" s="146">
        <v>33.029000000000003</v>
      </c>
      <c r="D77" s="146">
        <v>31.754999999999999</v>
      </c>
      <c r="E77" s="146">
        <v>64.78399658203125</v>
      </c>
      <c r="F77" s="146">
        <v>626.97113037109375</v>
      </c>
      <c r="G77" s="146">
        <v>642.69891357421875</v>
      </c>
      <c r="H77" s="146">
        <v>1269.6700439453125</v>
      </c>
      <c r="I77" s="146">
        <v>0.52176272869110107</v>
      </c>
      <c r="J77" s="146">
        <v>8.696690559387207</v>
      </c>
      <c r="K77" s="146">
        <v>13.876619338989258</v>
      </c>
      <c r="L77" s="146">
        <v>22.573310852050781</v>
      </c>
      <c r="M77" s="146">
        <v>263.22470092773438</v>
      </c>
      <c r="N77" s="146">
        <v>1047.5882568359375</v>
      </c>
      <c r="O77" s="146">
        <v>1020.5158081054688</v>
      </c>
      <c r="P77" s="146">
        <v>2068.10400390625</v>
      </c>
      <c r="Q77" s="146">
        <v>19.969490051269531</v>
      </c>
      <c r="R77" s="146">
        <v>172.01402282714844</v>
      </c>
      <c r="S77" s="146">
        <v>174.06996154785156</v>
      </c>
      <c r="T77" s="146">
        <v>346.083984375</v>
      </c>
      <c r="U77" s="146">
        <v>1889.66259765625</v>
      </c>
      <c r="V77" s="146">
        <v>5488.4365234375</v>
      </c>
      <c r="W77" s="146">
        <v>3837.187744140625</v>
      </c>
      <c r="X77" s="146">
        <v>9325.6240234375</v>
      </c>
      <c r="Y77" s="146">
        <v>0.3463192880153656</v>
      </c>
      <c r="Z77" s="146">
        <v>303.1865234375</v>
      </c>
      <c r="AA77">
        <v>1.1089576408267021E-2</v>
      </c>
      <c r="AB77">
        <v>7.066049613058567E-3</v>
      </c>
      <c r="AC77">
        <v>4.0235272608697414E-3</v>
      </c>
      <c r="AD77">
        <v>1.1089576408267021E-2</v>
      </c>
      <c r="AE77">
        <v>1.6721737384796143</v>
      </c>
      <c r="AF77">
        <v>4.2559232711791992</v>
      </c>
      <c r="AG77">
        <v>16.808629989624023</v>
      </c>
      <c r="AH77">
        <v>21.064556121826172</v>
      </c>
    </row>
    <row r="78" spans="1:34">
      <c r="A78" s="146" t="s">
        <v>303</v>
      </c>
      <c r="B78" s="146" t="s">
        <v>149</v>
      </c>
      <c r="C78" s="146">
        <v>5645.9049999999997</v>
      </c>
      <c r="D78" s="146">
        <v>5395.0510000000004</v>
      </c>
      <c r="E78" s="146">
        <v>11040.9560546875</v>
      </c>
      <c r="F78" s="146">
        <v>62403.390625</v>
      </c>
      <c r="G78" s="146">
        <v>65172.14453125</v>
      </c>
      <c r="H78" s="146">
        <v>127575.53125</v>
      </c>
      <c r="I78" s="146">
        <v>816.661376953125</v>
      </c>
      <c r="J78" s="146">
        <v>1671.7176513671875</v>
      </c>
      <c r="K78" s="146">
        <v>1804.0880126953125</v>
      </c>
      <c r="L78" s="146">
        <v>3475.80615234375</v>
      </c>
      <c r="M78" s="146">
        <v>96271.6015625</v>
      </c>
      <c r="N78" s="146">
        <v>123267.21875</v>
      </c>
      <c r="O78" s="146">
        <v>115652.1484375</v>
      </c>
      <c r="P78" s="146">
        <v>238919.359375</v>
      </c>
      <c r="Q78" s="146">
        <v>2945.10986328125</v>
      </c>
      <c r="R78" s="146">
        <v>13946.7734375</v>
      </c>
      <c r="S78" s="146">
        <v>11024.66015625</v>
      </c>
      <c r="T78" s="146">
        <v>24971.431640625</v>
      </c>
      <c r="U78" s="146">
        <v>282715.03125</v>
      </c>
      <c r="V78" s="146">
        <v>514065.90625</v>
      </c>
      <c r="W78" s="146">
        <v>379737.90625</v>
      </c>
      <c r="X78" s="146">
        <v>893803.625</v>
      </c>
      <c r="Y78" s="146">
        <v>437.5155029296875</v>
      </c>
      <c r="Z78" s="146">
        <v>41593.9375</v>
      </c>
      <c r="AA78">
        <v>2.4859154224395752</v>
      </c>
      <c r="AB78">
        <v>3.2441420555114746</v>
      </c>
      <c r="AC78">
        <v>1.9116041660308838</v>
      </c>
      <c r="AD78">
        <v>5.1557464599609375</v>
      </c>
      <c r="AE78">
        <v>1729.5096435546875</v>
      </c>
      <c r="AF78">
        <v>8524.7861328125</v>
      </c>
      <c r="AG78">
        <v>11398.2470703125</v>
      </c>
      <c r="AH78">
        <v>19923.041015625</v>
      </c>
    </row>
    <row r="79" spans="1:34">
      <c r="A79" s="146" t="s">
        <v>268</v>
      </c>
      <c r="B79" s="146" t="s">
        <v>114</v>
      </c>
      <c r="C79" s="146">
        <v>6.2619999999999996</v>
      </c>
      <c r="D79" s="146">
        <v>5.9089999999999998</v>
      </c>
      <c r="E79" s="146">
        <v>12.170999526977539</v>
      </c>
      <c r="F79" s="146">
        <v>57.86700439453125</v>
      </c>
      <c r="G79" s="146">
        <v>55.944007873535156</v>
      </c>
      <c r="H79" s="146">
        <v>113.81101226806641</v>
      </c>
      <c r="I79" s="146">
        <v>3.8350250720977783</v>
      </c>
      <c r="J79" s="146">
        <v>5.5831828117370605</v>
      </c>
      <c r="K79" s="146">
        <v>7.8439607620239258</v>
      </c>
      <c r="L79" s="146">
        <v>13.427143096923828</v>
      </c>
      <c r="M79" s="146">
        <v>376.6768798828125</v>
      </c>
      <c r="N79" s="146">
        <v>466.51251220703125</v>
      </c>
      <c r="O79" s="146">
        <v>442.11679077148438</v>
      </c>
      <c r="P79" s="146">
        <v>908.62933349609375</v>
      </c>
      <c r="Q79" s="146">
        <v>11.721467018127441</v>
      </c>
      <c r="R79" s="146">
        <v>28.917787551879883</v>
      </c>
      <c r="S79" s="146">
        <v>22.870330810546875</v>
      </c>
      <c r="T79" s="146">
        <v>51.788120269775391</v>
      </c>
      <c r="U79" s="146">
        <v>1062.6231689453125</v>
      </c>
      <c r="V79" s="146">
        <v>1552.458984375</v>
      </c>
      <c r="W79" s="146">
        <v>1140.3643798828125</v>
      </c>
      <c r="X79" s="146">
        <v>2692.822998046875</v>
      </c>
      <c r="Y79" s="146">
        <v>0.64754247665405273</v>
      </c>
      <c r="Z79" s="146">
        <v>71.664115905761719</v>
      </c>
      <c r="AA79">
        <v>4.5477692037820816E-3</v>
      </c>
      <c r="AB79">
        <v>1.6547391191124916E-2</v>
      </c>
      <c r="AC79">
        <v>1.5368794091045856E-2</v>
      </c>
      <c r="AD79">
        <v>3.1916182488203049E-2</v>
      </c>
      <c r="AE79">
        <v>3.259650707244873</v>
      </c>
      <c r="AF79">
        <v>14.71572208404541</v>
      </c>
      <c r="AG79">
        <v>31.087928771972656</v>
      </c>
      <c r="AH79">
        <v>45.803653717041016</v>
      </c>
    </row>
    <row r="80" spans="1:34">
      <c r="A80" s="146" t="s">
        <v>308</v>
      </c>
      <c r="B80" s="146" t="s">
        <v>154</v>
      </c>
      <c r="C80" s="146">
        <v>191.827</v>
      </c>
      <c r="D80" s="146">
        <v>186.80199999999999</v>
      </c>
      <c r="E80" s="146">
        <v>378.62899780273438</v>
      </c>
      <c r="F80" s="146">
        <v>1589.9320068359375</v>
      </c>
      <c r="G80" s="146">
        <v>1635.2340087890625</v>
      </c>
      <c r="H80" s="146">
        <v>3225.166015625</v>
      </c>
      <c r="I80" s="146">
        <v>63.048999786376953</v>
      </c>
      <c r="J80" s="146">
        <v>38.570552825927734</v>
      </c>
      <c r="K80" s="146">
        <v>27.758102416992188</v>
      </c>
      <c r="L80" s="146">
        <v>66.328666687011719</v>
      </c>
      <c r="M80" s="146">
        <v>6430.37646484375</v>
      </c>
      <c r="N80" s="146">
        <v>5892.20947265625</v>
      </c>
      <c r="O80" s="146">
        <v>5081.61181640625</v>
      </c>
      <c r="P80" s="146">
        <v>10973.8193359375</v>
      </c>
      <c r="Q80" s="146">
        <v>158.2503662109375</v>
      </c>
      <c r="R80" s="146">
        <v>244.7723388671875</v>
      </c>
      <c r="S80" s="146">
        <v>166.12677001953125</v>
      </c>
      <c r="T80" s="146">
        <v>410.89913940429688</v>
      </c>
      <c r="U80" s="146">
        <v>14469.1943359375</v>
      </c>
      <c r="V80" s="146">
        <v>15428.5205078125</v>
      </c>
      <c r="W80" s="146">
        <v>10997.29296875</v>
      </c>
      <c r="X80" s="146">
        <v>26425.81640625</v>
      </c>
      <c r="Y80" s="146">
        <v>0.14319822192192078</v>
      </c>
      <c r="Z80" s="146">
        <v>106.77439880371094</v>
      </c>
      <c r="AA80">
        <v>1.3002300634980202E-2</v>
      </c>
      <c r="AB80">
        <v>4.2800948023796082E-2</v>
      </c>
      <c r="AC80">
        <v>2.8237782418727875E-2</v>
      </c>
      <c r="AD80">
        <v>7.1038730442523956E-2</v>
      </c>
      <c r="AE80">
        <v>8.3915729522705078</v>
      </c>
      <c r="AF80">
        <v>39.061355590820313</v>
      </c>
      <c r="AG80">
        <v>183.55368041992188</v>
      </c>
      <c r="AH80">
        <v>222.61505126953125</v>
      </c>
    </row>
    <row r="81" spans="1:34">
      <c r="A81" s="146" t="s">
        <v>307</v>
      </c>
      <c r="B81" s="146" t="s">
        <v>153</v>
      </c>
      <c r="C81" s="146">
        <v>19.114999999999998</v>
      </c>
      <c r="D81" s="146">
        <v>17.759</v>
      </c>
      <c r="E81" s="146">
        <v>36.874000549316406</v>
      </c>
      <c r="F81" s="146">
        <v>310.5059814453125</v>
      </c>
      <c r="G81" s="146">
        <v>317.48202514648438</v>
      </c>
      <c r="H81" s="146">
        <v>627.988037109375</v>
      </c>
      <c r="I81" s="146">
        <v>0</v>
      </c>
      <c r="J81" s="146">
        <v>0.34461137652397156</v>
      </c>
      <c r="K81" s="146">
        <v>0.2335965484380722</v>
      </c>
      <c r="L81" s="146">
        <v>0.57820791006088257</v>
      </c>
      <c r="M81" s="146">
        <v>70.457069396972656</v>
      </c>
      <c r="N81" s="146">
        <v>354.48764038085938</v>
      </c>
      <c r="O81" s="146">
        <v>418.1956787109375</v>
      </c>
      <c r="P81" s="146">
        <v>772.6832275390625</v>
      </c>
      <c r="Q81" s="146">
        <v>0.83135753870010376</v>
      </c>
      <c r="R81" s="146">
        <v>47.644641876220703</v>
      </c>
      <c r="S81" s="146">
        <v>33.493736267089844</v>
      </c>
      <c r="T81" s="146">
        <v>81.138381958007813</v>
      </c>
      <c r="U81" s="146">
        <v>115.6483154296875</v>
      </c>
      <c r="V81" s="146">
        <v>1274.8544921875</v>
      </c>
      <c r="W81" s="146">
        <v>871.10992431640625</v>
      </c>
      <c r="X81" s="146">
        <v>2145.964111328125</v>
      </c>
      <c r="Y81" s="146">
        <v>1.2270356528460979E-2</v>
      </c>
      <c r="Z81" s="146">
        <v>30.078845977783203</v>
      </c>
      <c r="AA81">
        <v>0</v>
      </c>
      <c r="AB81">
        <v>0</v>
      </c>
      <c r="AC81">
        <v>0</v>
      </c>
      <c r="AD81">
        <v>0</v>
      </c>
      <c r="AE81">
        <v>0</v>
      </c>
      <c r="AF81">
        <v>0</v>
      </c>
      <c r="AG81">
        <v>0</v>
      </c>
      <c r="AH81">
        <v>0</v>
      </c>
    </row>
    <row r="82" spans="1:34">
      <c r="A82" s="146" t="s">
        <v>299</v>
      </c>
      <c r="B82" s="146" t="s">
        <v>145</v>
      </c>
      <c r="C82" s="146">
        <v>1729.3820000000001</v>
      </c>
      <c r="D82" s="146">
        <v>1641.0340000000001</v>
      </c>
      <c r="E82" s="146">
        <v>3370.416015625</v>
      </c>
      <c r="F82" s="146">
        <v>18093.0625</v>
      </c>
      <c r="G82" s="146">
        <v>18378.705078125</v>
      </c>
      <c r="H82" s="146">
        <v>36471.765625</v>
      </c>
      <c r="I82" s="146">
        <v>615.95355224609375</v>
      </c>
      <c r="J82" s="146">
        <v>599.80126953125</v>
      </c>
      <c r="K82" s="146">
        <v>591.87646484375</v>
      </c>
      <c r="L82" s="146">
        <v>1191.677734375</v>
      </c>
      <c r="M82" s="146">
        <v>67218.4140625</v>
      </c>
      <c r="N82" s="146">
        <v>69803.859375</v>
      </c>
      <c r="O82" s="146">
        <v>62638.75</v>
      </c>
      <c r="P82" s="146">
        <v>132442.609375</v>
      </c>
      <c r="Q82" s="146">
        <v>1629.0374755859375</v>
      </c>
      <c r="R82" s="146">
        <v>3611.567626953125</v>
      </c>
      <c r="S82" s="146">
        <v>3629.048095703125</v>
      </c>
      <c r="T82" s="146">
        <v>7240.615234375</v>
      </c>
      <c r="U82" s="146">
        <v>151407.046875</v>
      </c>
      <c r="V82" s="146">
        <v>166103.875</v>
      </c>
      <c r="W82" s="146">
        <v>153400.3125</v>
      </c>
      <c r="X82" s="146">
        <v>319504.1875</v>
      </c>
      <c r="Y82" s="146">
        <v>46.383686065673828</v>
      </c>
      <c r="Z82" s="146">
        <v>8412.236328125</v>
      </c>
      <c r="AA82">
        <v>1.4177649021148682</v>
      </c>
      <c r="AB82">
        <v>2.5132541656494141</v>
      </c>
      <c r="AC82">
        <v>2.3545715808868408</v>
      </c>
      <c r="AD82">
        <v>4.8678264617919922</v>
      </c>
      <c r="AE82">
        <v>272.70376586914063</v>
      </c>
      <c r="AF82">
        <v>724.7464599609375</v>
      </c>
      <c r="AG82">
        <v>1243.8863525390625</v>
      </c>
      <c r="AH82">
        <v>1968.6326904296875</v>
      </c>
    </row>
    <row r="83" spans="1:34">
      <c r="A83" s="146" t="s">
        <v>309</v>
      </c>
      <c r="B83" s="146" t="s">
        <v>155</v>
      </c>
      <c r="C83" s="146">
        <v>2536.355</v>
      </c>
      <c r="D83" s="146">
        <v>2511.4740000000002</v>
      </c>
      <c r="E83" s="146">
        <v>5047.8291015625</v>
      </c>
      <c r="F83" s="146">
        <v>14745.8505859375</v>
      </c>
      <c r="G83" s="146">
        <v>15620.193359375</v>
      </c>
      <c r="H83" s="146">
        <v>30366.04296875</v>
      </c>
      <c r="I83" s="146">
        <v>4789.38330078125</v>
      </c>
      <c r="J83" s="146">
        <v>7766.2978515625</v>
      </c>
      <c r="K83" s="146">
        <v>5161.23193359375</v>
      </c>
      <c r="L83" s="146">
        <v>12927.529296875</v>
      </c>
      <c r="M83" s="146">
        <v>439065.4375</v>
      </c>
      <c r="N83" s="146">
        <v>503411.21875</v>
      </c>
      <c r="O83" s="146">
        <v>360655.96875</v>
      </c>
      <c r="P83" s="146">
        <v>864067.125</v>
      </c>
      <c r="Q83" s="146">
        <v>10413.2841796875</v>
      </c>
      <c r="R83" s="146">
        <v>12571.2177734375</v>
      </c>
      <c r="S83" s="146">
        <v>10205.64453125</v>
      </c>
      <c r="T83" s="146">
        <v>22776.861328125</v>
      </c>
      <c r="U83" s="146">
        <v>936379.0625</v>
      </c>
      <c r="V83" s="146">
        <v>779463.3125</v>
      </c>
      <c r="W83" s="146">
        <v>625123.25</v>
      </c>
      <c r="X83" s="146">
        <v>1404586.375</v>
      </c>
      <c r="Y83" s="146">
        <v>1938.6485595703125</v>
      </c>
      <c r="Z83" s="146">
        <v>175591.6875</v>
      </c>
      <c r="AA83">
        <v>15.964398384094238</v>
      </c>
      <c r="AB83">
        <v>16.935256958007813</v>
      </c>
      <c r="AC83">
        <v>11.529229164123535</v>
      </c>
      <c r="AD83">
        <v>28.464488983154297</v>
      </c>
      <c r="AE83">
        <v>3588.52099609375</v>
      </c>
      <c r="AF83">
        <v>9818.8671875</v>
      </c>
      <c r="AG83">
        <v>14175.26953125</v>
      </c>
      <c r="AH83">
        <v>23994.13671875</v>
      </c>
    </row>
    <row r="84" spans="1:34">
      <c r="A84" s="146" t="s">
        <v>306</v>
      </c>
      <c r="B84" s="146" t="s">
        <v>152</v>
      </c>
      <c r="C84" s="146">
        <v>2277.0479999999998</v>
      </c>
      <c r="D84" s="146">
        <v>2233.9450000000002</v>
      </c>
      <c r="E84" s="146">
        <v>4510.9931640625</v>
      </c>
      <c r="F84" s="146">
        <v>26044.666015625</v>
      </c>
      <c r="G84" s="146">
        <v>28000.75390625</v>
      </c>
      <c r="H84" s="146">
        <v>54045.421875</v>
      </c>
      <c r="I84" s="146">
        <v>2572.43701171875</v>
      </c>
      <c r="J84" s="146">
        <v>3940.417236328125</v>
      </c>
      <c r="K84" s="146">
        <v>3296.98046875</v>
      </c>
      <c r="L84" s="146">
        <v>7237.39794921875</v>
      </c>
      <c r="M84" s="146">
        <v>242283.734375</v>
      </c>
      <c r="N84" s="146">
        <v>238295.53125</v>
      </c>
      <c r="O84" s="146">
        <v>185618.21875</v>
      </c>
      <c r="P84" s="146">
        <v>423913.71875</v>
      </c>
      <c r="Q84" s="146">
        <v>4335.40234375</v>
      </c>
      <c r="R84" s="146">
        <v>9319.99609375</v>
      </c>
      <c r="S84" s="146">
        <v>7433.8173828125</v>
      </c>
      <c r="T84" s="146">
        <v>16753.814453125</v>
      </c>
      <c r="U84" s="146">
        <v>395806.34375</v>
      </c>
      <c r="V84" s="146">
        <v>431850.46875</v>
      </c>
      <c r="W84" s="146">
        <v>316443.5625</v>
      </c>
      <c r="X84" s="146">
        <v>748294</v>
      </c>
      <c r="Y84" s="146">
        <v>144.99966430664063</v>
      </c>
      <c r="Z84" s="146">
        <v>20192.96875</v>
      </c>
      <c r="AA84">
        <v>6.7678494453430176</v>
      </c>
      <c r="AB84">
        <v>7.6333012580871582</v>
      </c>
      <c r="AC84">
        <v>5.7451181411743164</v>
      </c>
      <c r="AD84">
        <v>13.378419876098633</v>
      </c>
      <c r="AE84">
        <v>3192.922119140625</v>
      </c>
      <c r="AF84">
        <v>11348.9033203125</v>
      </c>
      <c r="AG84">
        <v>16091.0498046875</v>
      </c>
      <c r="AH84">
        <v>27439.947265625</v>
      </c>
    </row>
    <row r="85" spans="1:34">
      <c r="A85" s="146" t="s">
        <v>314</v>
      </c>
      <c r="B85" s="146" t="s">
        <v>160</v>
      </c>
      <c r="C85" s="146">
        <v>167.483</v>
      </c>
      <c r="D85" s="146">
        <v>166.916</v>
      </c>
      <c r="E85" s="146">
        <v>334.39898681640625</v>
      </c>
      <c r="F85" s="146">
        <v>1208.8623046875</v>
      </c>
      <c r="G85" s="146">
        <v>1285.662109375</v>
      </c>
      <c r="H85" s="146">
        <v>2494.5244140625</v>
      </c>
      <c r="I85" s="146">
        <v>161.62628173828125</v>
      </c>
      <c r="J85" s="146">
        <v>403.57528686523438</v>
      </c>
      <c r="K85" s="146">
        <v>241.25885009765625</v>
      </c>
      <c r="L85" s="146">
        <v>644.83416748046875</v>
      </c>
      <c r="M85" s="146">
        <v>15709.5390625</v>
      </c>
      <c r="N85" s="146">
        <v>23598.361328125</v>
      </c>
      <c r="O85" s="146">
        <v>14457.5830078125</v>
      </c>
      <c r="P85" s="146">
        <v>38055.94921875</v>
      </c>
      <c r="Q85" s="146">
        <v>356.02703857421875</v>
      </c>
      <c r="R85" s="146">
        <v>864.452880859375</v>
      </c>
      <c r="S85" s="146">
        <v>606.62371826171875</v>
      </c>
      <c r="T85" s="146">
        <v>1471.0767822265625</v>
      </c>
      <c r="U85" s="146">
        <v>32249.837890625</v>
      </c>
      <c r="V85" s="146">
        <v>41209.33203125</v>
      </c>
      <c r="W85" s="146">
        <v>28008.58984375</v>
      </c>
      <c r="X85" s="146">
        <v>69217.9140625</v>
      </c>
      <c r="Y85" s="146">
        <v>145.7545166015625</v>
      </c>
      <c r="Z85" s="146">
        <v>13435.9482421875</v>
      </c>
      <c r="AA85">
        <v>0.13643020391464233</v>
      </c>
      <c r="AB85">
        <v>0.15521374344825745</v>
      </c>
      <c r="AC85">
        <v>0.13615140318870544</v>
      </c>
      <c r="AD85">
        <v>0.29136517643928528</v>
      </c>
      <c r="AE85">
        <v>114.70439147949219</v>
      </c>
      <c r="AF85">
        <v>546.6597900390625</v>
      </c>
      <c r="AG85">
        <v>771.70806884765625</v>
      </c>
      <c r="AH85">
        <v>1318.36767578125</v>
      </c>
    </row>
    <row r="86" spans="1:34">
      <c r="A86" s="146" t="s">
        <v>318</v>
      </c>
      <c r="B86" s="146" t="s">
        <v>164</v>
      </c>
      <c r="C86" s="146">
        <v>1377.9269999999999</v>
      </c>
      <c r="D86" s="146">
        <v>1328.268</v>
      </c>
      <c r="E86" s="146">
        <v>2706.195068359375</v>
      </c>
      <c r="F86" s="146">
        <v>13046.9541015625</v>
      </c>
      <c r="G86" s="146">
        <v>15561.7607421875</v>
      </c>
      <c r="H86" s="146">
        <v>28608.71484375</v>
      </c>
      <c r="I86" s="146">
        <v>985.48358154296875</v>
      </c>
      <c r="J86" s="146">
        <v>2273.791015625</v>
      </c>
      <c r="K86" s="146">
        <v>3796.86181640625</v>
      </c>
      <c r="L86" s="146">
        <v>6070.65283203125</v>
      </c>
      <c r="M86" s="146">
        <v>92790.5859375</v>
      </c>
      <c r="N86" s="146">
        <v>136916.390625</v>
      </c>
      <c r="O86" s="146">
        <v>169731.34375</v>
      </c>
      <c r="P86" s="146">
        <v>306647.75</v>
      </c>
      <c r="Q86" s="146">
        <v>1680.9490966796875</v>
      </c>
      <c r="R86" s="146">
        <v>2901.23486328125</v>
      </c>
      <c r="S86" s="146">
        <v>3363.48046875</v>
      </c>
      <c r="T86" s="146">
        <v>6264.7158203125</v>
      </c>
      <c r="U86" s="146">
        <v>154952.78125</v>
      </c>
      <c r="V86" s="146">
        <v>146401.671875</v>
      </c>
      <c r="W86" s="146">
        <v>144990.40625</v>
      </c>
      <c r="X86" s="146">
        <v>291392.0625</v>
      </c>
      <c r="Y86" s="146">
        <v>257.96875</v>
      </c>
      <c r="Z86" s="146">
        <v>25720.015625</v>
      </c>
      <c r="AA86">
        <v>1.3970646858215332</v>
      </c>
      <c r="AB86">
        <v>2.2136905193328857</v>
      </c>
      <c r="AC86">
        <v>1.9673470258712769</v>
      </c>
      <c r="AD86">
        <v>4.181037425994873</v>
      </c>
      <c r="AE86">
        <v>1753.1224365234375</v>
      </c>
      <c r="AF86">
        <v>10320.884765625</v>
      </c>
      <c r="AG86">
        <v>21235.984375</v>
      </c>
      <c r="AH86">
        <v>31556.8671875</v>
      </c>
    </row>
    <row r="87" spans="1:34">
      <c r="A87" s="146" t="s">
        <v>317</v>
      </c>
      <c r="B87" s="146" t="s">
        <v>163</v>
      </c>
      <c r="C87" s="146">
        <v>337.65100000000001</v>
      </c>
      <c r="D87" s="146">
        <v>323.41199999999998</v>
      </c>
      <c r="E87" s="146">
        <v>661.06298828125</v>
      </c>
      <c r="F87" s="146">
        <v>3225.984375</v>
      </c>
      <c r="G87" s="146">
        <v>3319.519287109375</v>
      </c>
      <c r="H87" s="146">
        <v>6545.50390625</v>
      </c>
      <c r="I87" s="146">
        <v>65.912437438964844</v>
      </c>
      <c r="J87" s="146">
        <v>60.298274993896484</v>
      </c>
      <c r="K87" s="146">
        <v>62.085411071777344</v>
      </c>
      <c r="L87" s="146">
        <v>122.38367462158203</v>
      </c>
      <c r="M87" s="146">
        <v>7656.93408203125</v>
      </c>
      <c r="N87" s="146">
        <v>8305.0224609375</v>
      </c>
      <c r="O87" s="146">
        <v>7512.68896484375</v>
      </c>
      <c r="P87" s="146">
        <v>15817.7109375</v>
      </c>
      <c r="Q87" s="146">
        <v>339.55352783203125</v>
      </c>
      <c r="R87" s="146">
        <v>609.59356689453125</v>
      </c>
      <c r="S87" s="146">
        <v>542.64520263671875</v>
      </c>
      <c r="T87" s="146">
        <v>1152.2386474609375</v>
      </c>
      <c r="U87" s="146">
        <v>31394.48828125</v>
      </c>
      <c r="V87" s="146">
        <v>30034.03515625</v>
      </c>
      <c r="W87" s="146">
        <v>24538.072265625</v>
      </c>
      <c r="X87" s="146">
        <v>54572.11328125</v>
      </c>
      <c r="Y87" s="146">
        <v>61.815315246582031</v>
      </c>
      <c r="Z87" s="146">
        <v>5530.58203125</v>
      </c>
      <c r="AA87">
        <v>0.42556825280189514</v>
      </c>
      <c r="AB87">
        <v>0.20712833106517792</v>
      </c>
      <c r="AC87">
        <v>0.63217389583587646</v>
      </c>
      <c r="AD87">
        <v>0.83930224180221558</v>
      </c>
      <c r="AE87">
        <v>117.79132843017578</v>
      </c>
      <c r="AF87">
        <v>351.7542724609375</v>
      </c>
      <c r="AG87">
        <v>731.9390869140625</v>
      </c>
      <c r="AH87">
        <v>1083.693359375</v>
      </c>
    </row>
    <row r="88" spans="1:34">
      <c r="A88" s="146" t="s">
        <v>315</v>
      </c>
      <c r="B88" s="146" t="s">
        <v>161</v>
      </c>
      <c r="C88" s="146">
        <v>2366.0659999999998</v>
      </c>
      <c r="D88" s="146">
        <v>2276.0169999999998</v>
      </c>
      <c r="E88" s="146">
        <v>4642.0830078125</v>
      </c>
      <c r="F88" s="146">
        <v>11714.462890625</v>
      </c>
      <c r="G88" s="146">
        <v>11596.2568359375</v>
      </c>
      <c r="H88" s="146">
        <v>23310.71875</v>
      </c>
      <c r="I88" s="146">
        <v>6759.29052734375</v>
      </c>
      <c r="J88" s="146">
        <v>8872.5859375</v>
      </c>
      <c r="K88" s="146">
        <v>7157.791015625</v>
      </c>
      <c r="L88" s="146">
        <v>16030.37890625</v>
      </c>
      <c r="M88" s="146">
        <v>619776.875</v>
      </c>
      <c r="N88" s="146">
        <v>622424.0625</v>
      </c>
      <c r="O88" s="146">
        <v>502703.75</v>
      </c>
      <c r="P88" s="146">
        <v>1125128</v>
      </c>
      <c r="Q88" s="146">
        <v>12364.8505859375</v>
      </c>
      <c r="R88" s="146">
        <v>11524.28125</v>
      </c>
      <c r="S88" s="146">
        <v>9663.5498046875</v>
      </c>
      <c r="T88" s="146">
        <v>21187.830078125</v>
      </c>
      <c r="U88" s="146">
        <v>1101529.75</v>
      </c>
      <c r="V88" s="146">
        <v>806353.125</v>
      </c>
      <c r="W88" s="146">
        <v>667932</v>
      </c>
      <c r="X88" s="146">
        <v>1474285.25</v>
      </c>
      <c r="Y88" s="146">
        <v>1728.55078125</v>
      </c>
      <c r="Z88" s="146">
        <v>173693.671875</v>
      </c>
      <c r="AA88">
        <v>74.284500122070313</v>
      </c>
      <c r="AB88">
        <v>60.806205749511719</v>
      </c>
      <c r="AC88">
        <v>63.937416076660156</v>
      </c>
      <c r="AD88">
        <v>124.74362182617188</v>
      </c>
      <c r="AE88">
        <v>7687.39794921875</v>
      </c>
      <c r="AF88">
        <v>8617.4892578125</v>
      </c>
      <c r="AG88">
        <v>11796.765625</v>
      </c>
      <c r="AH88">
        <v>20414.251953125</v>
      </c>
    </row>
    <row r="89" spans="1:34">
      <c r="A89" s="146" t="s">
        <v>316</v>
      </c>
      <c r="B89" s="146" t="s">
        <v>162</v>
      </c>
      <c r="C89" s="146">
        <v>17104.787</v>
      </c>
      <c r="D89" s="146">
        <v>16304.576999999999</v>
      </c>
      <c r="E89" s="146">
        <v>33409.36328125</v>
      </c>
      <c r="F89" s="146">
        <v>101831.8828125</v>
      </c>
      <c r="G89" s="146">
        <v>99131.7265625</v>
      </c>
      <c r="H89" s="146">
        <v>200963.609375</v>
      </c>
      <c r="I89" s="146">
        <v>86365.3828125</v>
      </c>
      <c r="J89" s="146">
        <v>73182.234375</v>
      </c>
      <c r="K89" s="146">
        <v>71541.8359375</v>
      </c>
      <c r="L89" s="146">
        <v>144724.078125</v>
      </c>
      <c r="M89" s="146">
        <v>7766587.5</v>
      </c>
      <c r="N89" s="146">
        <v>5658536</v>
      </c>
      <c r="O89" s="146">
        <v>5288032.5</v>
      </c>
      <c r="P89" s="146">
        <v>10946570</v>
      </c>
      <c r="Q89" s="146">
        <v>166781.15625</v>
      </c>
      <c r="R89" s="146">
        <v>112193</v>
      </c>
      <c r="S89" s="146">
        <v>95349.6640625</v>
      </c>
      <c r="T89" s="146">
        <v>207542.625</v>
      </c>
      <c r="U89" s="146">
        <v>14860167</v>
      </c>
      <c r="V89" s="146">
        <v>9016460</v>
      </c>
      <c r="W89" s="146">
        <v>7446276</v>
      </c>
      <c r="X89" s="146">
        <v>16462736</v>
      </c>
      <c r="Y89" s="146">
        <v>5029.46240234375</v>
      </c>
      <c r="Z89" s="146">
        <v>562259.75</v>
      </c>
      <c r="AA89">
        <v>522.26495361328125</v>
      </c>
      <c r="AB89">
        <v>357.79705810546875</v>
      </c>
      <c r="AC89">
        <v>327.26287841796875</v>
      </c>
      <c r="AD89">
        <v>685.05999755859375</v>
      </c>
      <c r="AE89">
        <v>59947.37109375</v>
      </c>
      <c r="AF89">
        <v>80738.21875</v>
      </c>
      <c r="AG89">
        <v>89020.90625</v>
      </c>
      <c r="AH89">
        <v>169759.078125</v>
      </c>
    </row>
    <row r="90" spans="1:34">
      <c r="A90" s="146" t="s">
        <v>304</v>
      </c>
      <c r="B90" s="146" t="s">
        <v>150</v>
      </c>
      <c r="C90" s="146">
        <v>58.67</v>
      </c>
      <c r="D90" s="146">
        <v>54.994</v>
      </c>
      <c r="E90" s="146">
        <v>113.66400146484375</v>
      </c>
      <c r="F90" s="146">
        <v>1042.3050537109375</v>
      </c>
      <c r="G90" s="146">
        <v>1041.1531982421875</v>
      </c>
      <c r="H90" s="146">
        <v>2083.458251953125</v>
      </c>
      <c r="I90" s="146">
        <v>0.55718225240707397</v>
      </c>
      <c r="J90" s="146">
        <v>0.78497588634490967</v>
      </c>
      <c r="K90" s="146">
        <v>0.25094977021217346</v>
      </c>
      <c r="L90" s="146">
        <v>1.0359256267547607</v>
      </c>
      <c r="M90" s="146">
        <v>333.15484619140625</v>
      </c>
      <c r="N90" s="146">
        <v>1495.1748046875</v>
      </c>
      <c r="O90" s="146">
        <v>1943.3936767578125</v>
      </c>
      <c r="P90" s="146">
        <v>3438.568359375</v>
      </c>
      <c r="Q90" s="146">
        <v>10.234477043151855</v>
      </c>
      <c r="R90" s="146">
        <v>84.379226684570313</v>
      </c>
      <c r="S90" s="146">
        <v>72.167587280273438</v>
      </c>
      <c r="T90" s="146">
        <v>156.54681396484375</v>
      </c>
      <c r="U90" s="146">
        <v>1040.748291015625</v>
      </c>
      <c r="V90" s="146">
        <v>3348.29443359375</v>
      </c>
      <c r="W90" s="146">
        <v>2728.320068359375</v>
      </c>
      <c r="X90" s="146">
        <v>6076.6142578125</v>
      </c>
      <c r="Y90" s="146">
        <v>2.0151510834693909E-2</v>
      </c>
      <c r="Z90" s="146">
        <v>35.744361877441406</v>
      </c>
      <c r="AA90">
        <v>0</v>
      </c>
      <c r="AB90">
        <v>0</v>
      </c>
      <c r="AC90">
        <v>0</v>
      </c>
      <c r="AD90">
        <v>0</v>
      </c>
      <c r="AE90">
        <v>0</v>
      </c>
      <c r="AF90">
        <v>0</v>
      </c>
      <c r="AG90">
        <v>0</v>
      </c>
      <c r="AH90">
        <v>0</v>
      </c>
    </row>
    <row r="91" spans="1:34">
      <c r="A91" s="146" t="s">
        <v>319</v>
      </c>
      <c r="B91" s="146" t="s">
        <v>165</v>
      </c>
      <c r="C91" s="146">
        <v>14359.1</v>
      </c>
      <c r="D91" s="146">
        <v>13308.965</v>
      </c>
      <c r="E91" s="146">
        <v>27668.064453125</v>
      </c>
      <c r="F91" s="146">
        <v>111447.5859375</v>
      </c>
      <c r="G91" s="146">
        <v>105117.734375</v>
      </c>
      <c r="H91" s="146">
        <v>216565.3125</v>
      </c>
      <c r="I91" s="146">
        <v>29184.556640625</v>
      </c>
      <c r="J91" s="146">
        <v>53633.265625</v>
      </c>
      <c r="K91" s="146">
        <v>50749.33984375</v>
      </c>
      <c r="L91" s="146">
        <v>104382.609375</v>
      </c>
      <c r="M91" s="146">
        <v>2661650</v>
      </c>
      <c r="N91" s="146">
        <v>3029618</v>
      </c>
      <c r="O91" s="146">
        <v>2731404.75</v>
      </c>
      <c r="P91" s="146">
        <v>5761024</v>
      </c>
      <c r="Q91" s="146">
        <v>56791.3671875</v>
      </c>
      <c r="R91" s="146">
        <v>50398.32421875</v>
      </c>
      <c r="S91" s="146">
        <v>33401.74609375</v>
      </c>
      <c r="T91" s="146">
        <v>83800.0703125</v>
      </c>
      <c r="U91" s="146">
        <v>5100531.5</v>
      </c>
      <c r="V91" s="146">
        <v>3463746.25</v>
      </c>
      <c r="W91" s="146">
        <v>2672052.25</v>
      </c>
      <c r="X91" s="146">
        <v>6135799</v>
      </c>
      <c r="Y91" s="146">
        <v>6818.283203125</v>
      </c>
      <c r="Z91" s="146">
        <v>711209.0625</v>
      </c>
      <c r="AA91">
        <v>36.789180755615234</v>
      </c>
      <c r="AB91">
        <v>44.204521179199219</v>
      </c>
      <c r="AC91">
        <v>30.744478225708008</v>
      </c>
      <c r="AD91">
        <v>74.948982238769531</v>
      </c>
      <c r="AE91">
        <v>13178.1396484375</v>
      </c>
      <c r="AF91">
        <v>48946.87109375</v>
      </c>
      <c r="AG91">
        <v>59009.67578125</v>
      </c>
      <c r="AH91">
        <v>107956.578125</v>
      </c>
    </row>
    <row r="92" spans="1:34">
      <c r="A92" s="146" t="s">
        <v>320</v>
      </c>
      <c r="B92" s="146" t="s">
        <v>166</v>
      </c>
      <c r="C92" s="146">
        <v>198.89599999999999</v>
      </c>
      <c r="D92" s="146">
        <v>190.173</v>
      </c>
      <c r="E92" s="146">
        <v>389.06900024414063</v>
      </c>
      <c r="F92" s="146">
        <v>2126.43408203125</v>
      </c>
      <c r="G92" s="146">
        <v>2120.006103515625</v>
      </c>
      <c r="H92" s="146">
        <v>4246.4404296875</v>
      </c>
      <c r="I92" s="146">
        <v>52.302154541015625</v>
      </c>
      <c r="J92" s="146">
        <v>84.513771057128906</v>
      </c>
      <c r="K92" s="146">
        <v>78.471282958984375</v>
      </c>
      <c r="L92" s="146">
        <v>162.98504638671875</v>
      </c>
      <c r="M92" s="146">
        <v>5732.1953125</v>
      </c>
      <c r="N92" s="146">
        <v>7092.291015625</v>
      </c>
      <c r="O92" s="146">
        <v>6486.3134765625</v>
      </c>
      <c r="P92" s="146">
        <v>13578.607421875</v>
      </c>
      <c r="Q92" s="146">
        <v>140.12518310546875</v>
      </c>
      <c r="R92" s="146">
        <v>392.6822509765625</v>
      </c>
      <c r="S92" s="146">
        <v>318.27197265625</v>
      </c>
      <c r="T92" s="146">
        <v>710.9542236328125</v>
      </c>
      <c r="U92" s="146">
        <v>13188.6123046875</v>
      </c>
      <c r="V92" s="146">
        <v>15198.2802734375</v>
      </c>
      <c r="W92" s="146">
        <v>12168.1103515625</v>
      </c>
      <c r="X92" s="146">
        <v>27366.390625</v>
      </c>
      <c r="Y92" s="146">
        <v>29.679304122924805</v>
      </c>
      <c r="Z92" s="146">
        <v>2636.982177734375</v>
      </c>
      <c r="AA92">
        <v>7.8502528369426727E-2</v>
      </c>
      <c r="AB92">
        <v>4.1489928960800171E-2</v>
      </c>
      <c r="AC92">
        <v>3.7012599408626556E-2</v>
      </c>
      <c r="AD92">
        <v>7.8502528369426727E-2</v>
      </c>
      <c r="AE92">
        <v>21.685522079467773</v>
      </c>
      <c r="AF92">
        <v>72.531211853027344</v>
      </c>
      <c r="AG92">
        <v>514.0157470703125</v>
      </c>
      <c r="AH92">
        <v>586.546875</v>
      </c>
    </row>
    <row r="93" spans="1:34">
      <c r="A93" s="146" t="s">
        <v>323</v>
      </c>
      <c r="B93" s="146" t="s">
        <v>169</v>
      </c>
      <c r="C93" s="146">
        <v>566.67399999999998</v>
      </c>
      <c r="D93" s="146">
        <v>528.93100000000004</v>
      </c>
      <c r="E93" s="146">
        <v>1095.60498046875</v>
      </c>
      <c r="F93" s="146">
        <v>4480.0107421875</v>
      </c>
      <c r="G93" s="146">
        <v>4296.107421875</v>
      </c>
      <c r="H93" s="146">
        <v>8776.1181640625</v>
      </c>
      <c r="I93" s="146">
        <v>470.31881713867188</v>
      </c>
      <c r="J93" s="146">
        <v>1314.0914306640625</v>
      </c>
      <c r="K93" s="146">
        <v>980.89385986328125</v>
      </c>
      <c r="L93" s="146">
        <v>2294.98583984375</v>
      </c>
      <c r="M93" s="146">
        <v>45972.35546875</v>
      </c>
      <c r="N93" s="146">
        <v>77538.2421875</v>
      </c>
      <c r="O93" s="146">
        <v>50718.02734375</v>
      </c>
      <c r="P93" s="146">
        <v>128256.2734375</v>
      </c>
      <c r="Q93" s="146">
        <v>1195.71337890625</v>
      </c>
      <c r="R93" s="146">
        <v>1484.6663818359375</v>
      </c>
      <c r="S93" s="146">
        <v>1112.3353271484375</v>
      </c>
      <c r="T93" s="146">
        <v>2597.00146484375</v>
      </c>
      <c r="U93" s="146">
        <v>108348.6640625</v>
      </c>
      <c r="V93" s="146">
        <v>98715.4375</v>
      </c>
      <c r="W93" s="146">
        <v>66075.0625</v>
      </c>
      <c r="X93" s="146">
        <v>164790.546875</v>
      </c>
      <c r="Y93" s="146">
        <v>30.009689331054688</v>
      </c>
      <c r="Z93" s="146">
        <v>7108.646484375</v>
      </c>
      <c r="AA93">
        <v>2.7642991542816162</v>
      </c>
      <c r="AB93">
        <v>2.9249029159545898</v>
      </c>
      <c r="AC93">
        <v>3.9663221836090088</v>
      </c>
      <c r="AD93">
        <v>6.8912234306335449</v>
      </c>
      <c r="AE93">
        <v>1037.081787109375</v>
      </c>
      <c r="AF93">
        <v>4542.70654296875</v>
      </c>
      <c r="AG93">
        <v>6997.13720703125</v>
      </c>
      <c r="AH93">
        <v>11539.84375</v>
      </c>
    </row>
    <row r="94" spans="1:34">
      <c r="A94" s="146" t="s">
        <v>325</v>
      </c>
      <c r="B94" s="146" t="s">
        <v>171</v>
      </c>
      <c r="C94" s="146">
        <v>357.05399999999997</v>
      </c>
      <c r="D94" s="146">
        <v>340.89699999999999</v>
      </c>
      <c r="E94" s="146">
        <v>697.95098876953125</v>
      </c>
      <c r="F94" s="146">
        <v>3580.8876953125</v>
      </c>
      <c r="G94" s="146">
        <v>3463.751220703125</v>
      </c>
      <c r="H94" s="146">
        <v>7044.638671875</v>
      </c>
      <c r="I94" s="146">
        <v>116.86220550537109</v>
      </c>
      <c r="J94" s="146">
        <v>99.491355895996094</v>
      </c>
      <c r="K94" s="146">
        <v>92.649322509765625</v>
      </c>
      <c r="L94" s="146">
        <v>192.14064025878906</v>
      </c>
      <c r="M94" s="146">
        <v>12214.30078125</v>
      </c>
      <c r="N94" s="146">
        <v>11695.6708984375</v>
      </c>
      <c r="O94" s="146">
        <v>10297.1416015625</v>
      </c>
      <c r="P94" s="146">
        <v>21992.810546875</v>
      </c>
      <c r="Q94" s="146">
        <v>276.48294067382813</v>
      </c>
      <c r="R94" s="146">
        <v>909.438232421875</v>
      </c>
      <c r="S94" s="146">
        <v>757.7269287109375</v>
      </c>
      <c r="T94" s="146">
        <v>1667.1651611328125</v>
      </c>
      <c r="U94" s="146">
        <v>26223.189453125</v>
      </c>
      <c r="V94" s="146">
        <v>35482.265625</v>
      </c>
      <c r="W94" s="146">
        <v>26394.431640625</v>
      </c>
      <c r="X94" s="146">
        <v>61876.6953125</v>
      </c>
      <c r="Y94" s="146">
        <v>31.757698059082031</v>
      </c>
      <c r="Z94" s="146">
        <v>2867.1484375</v>
      </c>
      <c r="AA94">
        <v>3.5995796322822571E-2</v>
      </c>
      <c r="AB94">
        <v>1.869017630815506E-2</v>
      </c>
      <c r="AC94">
        <v>0.3986574113368988</v>
      </c>
      <c r="AD94">
        <v>0.41734760999679565</v>
      </c>
      <c r="AE94">
        <v>20.304943084716797</v>
      </c>
      <c r="AF94">
        <v>93.262985229492188</v>
      </c>
      <c r="AG94">
        <v>310.41204833984375</v>
      </c>
      <c r="AH94">
        <v>403.67501831054688</v>
      </c>
    </row>
    <row r="95" spans="1:34">
      <c r="A95" s="146" t="s">
        <v>321</v>
      </c>
      <c r="B95" s="146" t="s">
        <v>167</v>
      </c>
      <c r="C95" s="146">
        <v>1437.665</v>
      </c>
      <c r="D95" s="146">
        <v>1372.41</v>
      </c>
      <c r="E95" s="146">
        <v>2810.074951171875</v>
      </c>
      <c r="F95" s="146">
        <v>16148.2392578125</v>
      </c>
      <c r="G95" s="146">
        <v>16362.2216796875</v>
      </c>
      <c r="H95" s="146">
        <v>32510.4609375</v>
      </c>
      <c r="I95" s="146">
        <v>376.5335693359375</v>
      </c>
      <c r="J95" s="146">
        <v>536.955810546875</v>
      </c>
      <c r="K95" s="146">
        <v>571.1949462890625</v>
      </c>
      <c r="L95" s="146">
        <v>1108.150634765625</v>
      </c>
      <c r="M95" s="146">
        <v>43658.73828125</v>
      </c>
      <c r="N95" s="146">
        <v>56605.98828125</v>
      </c>
      <c r="O95" s="146">
        <v>51228.94921875</v>
      </c>
      <c r="P95" s="146">
        <v>107834.921875</v>
      </c>
      <c r="Q95" s="146">
        <v>708.4229736328125</v>
      </c>
      <c r="R95" s="146">
        <v>7225.5517578125</v>
      </c>
      <c r="S95" s="146">
        <v>8112.224609375</v>
      </c>
      <c r="T95" s="146">
        <v>15337.7763671875</v>
      </c>
      <c r="U95" s="146">
        <v>68377.359375</v>
      </c>
      <c r="V95" s="146">
        <v>195841.4375</v>
      </c>
      <c r="W95" s="146">
        <v>173069.53125</v>
      </c>
      <c r="X95" s="146">
        <v>368910.9375</v>
      </c>
      <c r="Y95" s="146">
        <v>107.97198486328125</v>
      </c>
      <c r="Z95" s="146">
        <v>9540.2607421875</v>
      </c>
      <c r="AA95">
        <v>0.58057951927185059</v>
      </c>
      <c r="AB95">
        <v>0.94054257869720459</v>
      </c>
      <c r="AC95">
        <v>0.88214677572250366</v>
      </c>
      <c r="AD95">
        <v>1.8226892948150635</v>
      </c>
      <c r="AE95">
        <v>203.08087158203125</v>
      </c>
      <c r="AF95">
        <v>992.3707275390625</v>
      </c>
      <c r="AG95">
        <v>1565.9429931640625</v>
      </c>
      <c r="AH95">
        <v>2558.3134765625</v>
      </c>
    </row>
    <row r="96" spans="1:34">
      <c r="A96" s="146" t="s">
        <v>322</v>
      </c>
      <c r="B96" s="146" t="s">
        <v>168</v>
      </c>
      <c r="C96" s="146">
        <v>5534.9620000000004</v>
      </c>
      <c r="D96" s="146">
        <v>5240.5079999999998</v>
      </c>
      <c r="E96" s="146">
        <v>10775.4697265625</v>
      </c>
      <c r="F96" s="146">
        <v>54316.0625</v>
      </c>
      <c r="G96" s="146">
        <v>53800.54296875</v>
      </c>
      <c r="H96" s="146">
        <v>108116.609375</v>
      </c>
      <c r="I96" s="146">
        <v>3812.970947265625</v>
      </c>
      <c r="J96" s="146">
        <v>3443.16845703125</v>
      </c>
      <c r="K96" s="146">
        <v>2745.558837890625</v>
      </c>
      <c r="L96" s="146">
        <v>6188.72705078125</v>
      </c>
      <c r="M96" s="146">
        <v>371349.25</v>
      </c>
      <c r="N96" s="146">
        <v>300813.84375</v>
      </c>
      <c r="O96" s="146">
        <v>238705.6875</v>
      </c>
      <c r="P96" s="146">
        <v>539519.5625</v>
      </c>
      <c r="Q96" s="146">
        <v>7947.89208984375</v>
      </c>
      <c r="R96" s="146">
        <v>45295.34375</v>
      </c>
      <c r="S96" s="146">
        <v>48572.703125</v>
      </c>
      <c r="T96" s="146">
        <v>93868.046875</v>
      </c>
      <c r="U96" s="146">
        <v>729458.8125</v>
      </c>
      <c r="V96" s="146">
        <v>1283910.375</v>
      </c>
      <c r="W96" s="146">
        <v>1026088.3125</v>
      </c>
      <c r="X96" s="146">
        <v>2309999</v>
      </c>
      <c r="Y96" s="146">
        <v>583.1463623046875</v>
      </c>
      <c r="Z96" s="146">
        <v>67273.9296875</v>
      </c>
      <c r="AA96">
        <v>5.6603355407714844</v>
      </c>
      <c r="AB96">
        <v>6.1613478660583496</v>
      </c>
      <c r="AC96">
        <v>7.105769157409668</v>
      </c>
      <c r="AD96">
        <v>13.267117500305176</v>
      </c>
      <c r="AE96">
        <v>4321.94482421875</v>
      </c>
      <c r="AF96">
        <v>30735.599609375</v>
      </c>
      <c r="AG96">
        <v>35287.01171875</v>
      </c>
      <c r="AH96">
        <v>66022.609375</v>
      </c>
    </row>
    <row r="97" spans="1:34">
      <c r="A97" s="146" t="s">
        <v>300</v>
      </c>
      <c r="B97" s="146" t="s">
        <v>146</v>
      </c>
      <c r="C97" s="146">
        <v>106.15</v>
      </c>
      <c r="D97" s="146">
        <v>100.277</v>
      </c>
      <c r="E97" s="146">
        <v>206.427001953125</v>
      </c>
      <c r="F97" s="146">
        <v>1937.8482666015625</v>
      </c>
      <c r="G97" s="146">
        <v>2105.40966796875</v>
      </c>
      <c r="H97" s="146">
        <v>4043.2578125</v>
      </c>
      <c r="I97" s="146">
        <v>0.98141199350357056</v>
      </c>
      <c r="J97" s="146">
        <v>1.6499795913696289</v>
      </c>
      <c r="K97" s="146">
        <v>1.8994312286376953</v>
      </c>
      <c r="L97" s="146">
        <v>3.5494108200073242</v>
      </c>
      <c r="M97" s="146">
        <v>473.54653930664063</v>
      </c>
      <c r="N97" s="146">
        <v>2861.32958984375</v>
      </c>
      <c r="O97" s="146">
        <v>3473.511474609375</v>
      </c>
      <c r="P97" s="146">
        <v>6334.84228515625</v>
      </c>
      <c r="Q97" s="146">
        <v>108.19316864013672</v>
      </c>
      <c r="R97" s="146">
        <v>769.21527099609375</v>
      </c>
      <c r="S97" s="146">
        <v>277.60696411132813</v>
      </c>
      <c r="T97" s="146">
        <v>1046.8223876953125</v>
      </c>
      <c r="U97" s="146">
        <v>9912.6083984375</v>
      </c>
      <c r="V97" s="146">
        <v>31677.64453125</v>
      </c>
      <c r="W97" s="146">
        <v>13020.015625</v>
      </c>
      <c r="X97" s="146">
        <v>44697.66015625</v>
      </c>
      <c r="Y97" s="146">
        <v>9.6120890229940414E-3</v>
      </c>
      <c r="Z97" s="146">
        <v>61.246311187744141</v>
      </c>
      <c r="AA97">
        <v>0</v>
      </c>
      <c r="AB97">
        <v>0</v>
      </c>
      <c r="AC97">
        <v>0</v>
      </c>
      <c r="AD97">
        <v>0</v>
      </c>
      <c r="AE97">
        <v>0</v>
      </c>
      <c r="AF97">
        <v>0</v>
      </c>
      <c r="AG97">
        <v>0</v>
      </c>
      <c r="AH97">
        <v>0</v>
      </c>
    </row>
    <row r="98" spans="1:34">
      <c r="A98" s="146" t="s">
        <v>326</v>
      </c>
      <c r="B98" s="146" t="s">
        <v>172</v>
      </c>
      <c r="C98" s="146">
        <v>483.09100000000001</v>
      </c>
      <c r="D98" s="146">
        <v>457.12</v>
      </c>
      <c r="E98" s="146">
        <v>940.21099853515625</v>
      </c>
      <c r="F98" s="146">
        <v>9418.2861328125</v>
      </c>
      <c r="G98" s="146">
        <v>9946.2705078125</v>
      </c>
      <c r="H98" s="146">
        <v>19364.556640625</v>
      </c>
      <c r="I98" s="146">
        <v>2.1648638248443604</v>
      </c>
      <c r="J98" s="146">
        <v>96.632598876953125</v>
      </c>
      <c r="K98" s="146">
        <v>126.81062316894531</v>
      </c>
      <c r="L98" s="146">
        <v>223.4432373046875</v>
      </c>
      <c r="M98" s="146">
        <v>2257.64111328125</v>
      </c>
      <c r="N98" s="146">
        <v>14837.19140625</v>
      </c>
      <c r="O98" s="146">
        <v>18677.30078125</v>
      </c>
      <c r="P98" s="146">
        <v>33514.49609375</v>
      </c>
      <c r="Q98" s="146">
        <v>353.71209716796875</v>
      </c>
      <c r="R98" s="146">
        <v>5456.25146484375</v>
      </c>
      <c r="S98" s="146">
        <v>3904.44482421875</v>
      </c>
      <c r="T98" s="146">
        <v>9360.6962890625</v>
      </c>
      <c r="U98" s="146">
        <v>32617.6640625</v>
      </c>
      <c r="V98" s="146">
        <v>149251.0625</v>
      </c>
      <c r="W98" s="146">
        <v>89281.0234375</v>
      </c>
      <c r="X98" s="146">
        <v>238532.078125</v>
      </c>
      <c r="Y98" s="146">
        <v>2.982764720916748</v>
      </c>
      <c r="Z98" s="146">
        <v>838.51776123046875</v>
      </c>
      <c r="AA98">
        <v>0</v>
      </c>
      <c r="AB98">
        <v>0</v>
      </c>
      <c r="AC98">
        <v>0</v>
      </c>
      <c r="AD98">
        <v>0</v>
      </c>
      <c r="AE98">
        <v>0</v>
      </c>
      <c r="AF98">
        <v>0</v>
      </c>
      <c r="AG98">
        <v>0</v>
      </c>
      <c r="AH98">
        <v>0</v>
      </c>
    </row>
    <row r="99" spans="1:34">
      <c r="A99" s="146" t="s">
        <v>327</v>
      </c>
      <c r="B99" s="146" t="s">
        <v>173</v>
      </c>
      <c r="C99" s="146">
        <v>4829.5950000000003</v>
      </c>
      <c r="D99" s="146">
        <v>4570.4440000000004</v>
      </c>
      <c r="E99" s="146">
        <v>9400.0390625</v>
      </c>
      <c r="F99" s="146">
        <v>67602.9453125</v>
      </c>
      <c r="G99" s="146">
        <v>78269.328125</v>
      </c>
      <c r="H99" s="146">
        <v>145872.28125</v>
      </c>
      <c r="I99" s="146">
        <v>85.791069030761719</v>
      </c>
      <c r="J99" s="146">
        <v>172.62158203125</v>
      </c>
      <c r="K99" s="146">
        <v>230.57723999023438</v>
      </c>
      <c r="L99" s="146">
        <v>403.19882202148438</v>
      </c>
      <c r="M99" s="146">
        <v>32484.86328125</v>
      </c>
      <c r="N99" s="146">
        <v>120510.6171875</v>
      </c>
      <c r="O99" s="146">
        <v>154832.625</v>
      </c>
      <c r="P99" s="146">
        <v>275343.28125</v>
      </c>
      <c r="Q99" s="146">
        <v>757.16748046875</v>
      </c>
      <c r="R99" s="146">
        <v>21577.677734375</v>
      </c>
      <c r="S99" s="146">
        <v>10988.125</v>
      </c>
      <c r="T99" s="146">
        <v>32565.806640625</v>
      </c>
      <c r="U99" s="146">
        <v>79647.8515625</v>
      </c>
      <c r="V99" s="146">
        <v>803230.375</v>
      </c>
      <c r="W99" s="146">
        <v>355470.6875</v>
      </c>
      <c r="X99" s="146">
        <v>1158701.125</v>
      </c>
      <c r="Y99" s="146">
        <v>4.8286666870117188</v>
      </c>
      <c r="Z99" s="146">
        <v>4764.5888671875</v>
      </c>
      <c r="AA99">
        <v>0</v>
      </c>
      <c r="AB99">
        <v>0</v>
      </c>
      <c r="AC99">
        <v>0</v>
      </c>
      <c r="AD99">
        <v>0</v>
      </c>
      <c r="AE99">
        <v>0</v>
      </c>
      <c r="AF99">
        <v>0</v>
      </c>
      <c r="AG99">
        <v>0</v>
      </c>
      <c r="AH99">
        <v>0</v>
      </c>
    </row>
    <row r="100" spans="1:34">
      <c r="A100" s="146" t="s">
        <v>328</v>
      </c>
      <c r="B100" s="146" t="s">
        <v>174</v>
      </c>
      <c r="C100" s="146">
        <v>931.17600000000004</v>
      </c>
      <c r="D100" s="146">
        <v>917.68299999999999</v>
      </c>
      <c r="E100" s="146">
        <v>1848.8590087890625</v>
      </c>
      <c r="F100" s="146">
        <v>6206.0849609375</v>
      </c>
      <c r="G100" s="146">
        <v>6420.85107421875</v>
      </c>
      <c r="H100" s="146">
        <v>12626.935546875</v>
      </c>
      <c r="I100" s="146">
        <v>827.4373779296875</v>
      </c>
      <c r="J100" s="146">
        <v>1795.6717529296875</v>
      </c>
      <c r="K100" s="146">
        <v>1325.564208984375</v>
      </c>
      <c r="L100" s="146">
        <v>3121.236083984375</v>
      </c>
      <c r="M100" s="146">
        <v>80093.8515625</v>
      </c>
      <c r="N100" s="146">
        <v>109708.0625</v>
      </c>
      <c r="O100" s="146">
        <v>81563.2890625</v>
      </c>
      <c r="P100" s="146">
        <v>191271.359375</v>
      </c>
      <c r="Q100" s="146">
        <v>1934.852294921875</v>
      </c>
      <c r="R100" s="146">
        <v>2855.155517578125</v>
      </c>
      <c r="S100" s="146">
        <v>2486.348388671875</v>
      </c>
      <c r="T100" s="146">
        <v>5341.50439453125</v>
      </c>
      <c r="U100" s="146">
        <v>175092.46875</v>
      </c>
      <c r="V100" s="146">
        <v>160189.625</v>
      </c>
      <c r="W100" s="146">
        <v>130608.28125</v>
      </c>
      <c r="X100" s="146">
        <v>290797.90625</v>
      </c>
      <c r="Y100" s="146">
        <v>687.59130859375</v>
      </c>
      <c r="Z100" s="146">
        <v>62425.5078125</v>
      </c>
      <c r="AA100">
        <v>3.1011178493499756</v>
      </c>
      <c r="AB100">
        <v>2.7877349853515625</v>
      </c>
      <c r="AC100">
        <v>1.844867467880249</v>
      </c>
      <c r="AD100">
        <v>4.6326022148132324</v>
      </c>
      <c r="AE100">
        <v>1312.798583984375</v>
      </c>
      <c r="AF100">
        <v>7370.9912109375</v>
      </c>
      <c r="AG100">
        <v>8243.7939453125</v>
      </c>
      <c r="AH100">
        <v>15614.78515625</v>
      </c>
    </row>
    <row r="101" spans="1:34">
      <c r="A101" s="146" t="s">
        <v>296</v>
      </c>
      <c r="B101" s="146" t="s">
        <v>142</v>
      </c>
      <c r="C101" s="146">
        <v>5.5380000000000003</v>
      </c>
      <c r="D101" s="146">
        <v>5.3929999999999998</v>
      </c>
      <c r="E101" s="146">
        <v>10.930999755859375</v>
      </c>
      <c r="F101" s="146">
        <v>90.021003723144531</v>
      </c>
      <c r="G101" s="146">
        <v>92.774017333984375</v>
      </c>
      <c r="H101" s="146">
        <v>182.79501342773438</v>
      </c>
      <c r="I101" s="146">
        <v>0</v>
      </c>
      <c r="J101" s="146">
        <v>2.6838743686676025</v>
      </c>
      <c r="K101" s="146">
        <v>1.8940051794052124</v>
      </c>
      <c r="L101" s="146">
        <v>4.5778794288635254</v>
      </c>
      <c r="M101" s="146">
        <v>34.446113586425781</v>
      </c>
      <c r="N101" s="146">
        <v>250.94485473632813</v>
      </c>
      <c r="O101" s="146">
        <v>212.70524597167969</v>
      </c>
      <c r="P101" s="146">
        <v>463.65011596679688</v>
      </c>
      <c r="Q101" s="146">
        <v>4.5143208503723145</v>
      </c>
      <c r="R101" s="146">
        <v>39.214038848876953</v>
      </c>
      <c r="S101" s="146">
        <v>26.588031768798828</v>
      </c>
      <c r="T101" s="146">
        <v>65.802070617675781</v>
      </c>
      <c r="U101" s="146">
        <v>421.31027221679688</v>
      </c>
      <c r="V101" s="146">
        <v>943.67755126953125</v>
      </c>
      <c r="W101" s="146">
        <v>675.21435546875</v>
      </c>
      <c r="X101" s="146">
        <v>1618.89208984375</v>
      </c>
      <c r="Y101" s="146">
        <v>0.89321744441986084</v>
      </c>
      <c r="Z101" s="146">
        <v>82.715621948242188</v>
      </c>
      <c r="AA101">
        <v>1.7199261346831918E-3</v>
      </c>
      <c r="AB101">
        <v>6.2091504223644733E-3</v>
      </c>
      <c r="AC101">
        <v>4.3891691602766514E-3</v>
      </c>
      <c r="AD101">
        <v>1.0598320513963699E-2</v>
      </c>
      <c r="AE101">
        <v>0.61024653911590576</v>
      </c>
      <c r="AF101">
        <v>4.4068069458007813</v>
      </c>
      <c r="AG101">
        <v>10.759829521179199</v>
      </c>
      <c r="AH101">
        <v>15.166635513305664</v>
      </c>
    </row>
    <row r="102" spans="1:34">
      <c r="A102" s="146" t="s">
        <v>353</v>
      </c>
      <c r="B102" s="146" t="s">
        <v>200</v>
      </c>
      <c r="C102" s="146">
        <v>3.9550000000000001</v>
      </c>
      <c r="D102" s="146">
        <v>3.867</v>
      </c>
      <c r="E102" s="146">
        <v>7.8220000267028809</v>
      </c>
      <c r="F102" s="146">
        <v>56.097003936767578</v>
      </c>
      <c r="G102" s="146">
        <v>54.496002197265625</v>
      </c>
      <c r="H102" s="146">
        <v>110.59300231933594</v>
      </c>
      <c r="I102" s="146">
        <v>0.1926562637090683</v>
      </c>
      <c r="J102" s="146">
        <v>0.87721455097198486</v>
      </c>
      <c r="K102" s="146">
        <v>1.0978585481643677</v>
      </c>
      <c r="L102" s="146">
        <v>1.9750732183456421</v>
      </c>
      <c r="M102" s="146">
        <v>39.167621612548828</v>
      </c>
      <c r="N102" s="146">
        <v>124.24356079101563</v>
      </c>
      <c r="O102" s="146">
        <v>110.60219573974609</v>
      </c>
      <c r="P102" s="146">
        <v>234.84577941894531</v>
      </c>
      <c r="Q102" s="146">
        <v>3.0086150169372559</v>
      </c>
      <c r="R102" s="146">
        <v>21.435064315795898</v>
      </c>
      <c r="S102" s="146">
        <v>17.831811904907227</v>
      </c>
      <c r="T102" s="146">
        <v>39.266876220703125</v>
      </c>
      <c r="U102" s="146">
        <v>283.9884033203125</v>
      </c>
      <c r="V102" s="146">
        <v>616.57977294921875</v>
      </c>
      <c r="W102" s="146">
        <v>423.8017578125</v>
      </c>
      <c r="X102" s="146">
        <v>1040.3814697265625</v>
      </c>
      <c r="Y102" s="146">
        <v>3.9999996079131961E-4</v>
      </c>
      <c r="Z102" s="146">
        <v>2.1517322063446045</v>
      </c>
      <c r="AA102">
        <v>0</v>
      </c>
      <c r="AB102">
        <v>0</v>
      </c>
      <c r="AC102">
        <v>0</v>
      </c>
      <c r="AD102">
        <v>0</v>
      </c>
      <c r="AE102">
        <v>0.25306215882301331</v>
      </c>
      <c r="AF102">
        <v>1.8968245983123779</v>
      </c>
      <c r="AG102">
        <v>6.5781369209289551</v>
      </c>
      <c r="AH102">
        <v>8.4749593734741211</v>
      </c>
    </row>
    <row r="103" spans="1:34">
      <c r="A103" s="146" t="s">
        <v>356</v>
      </c>
      <c r="B103" s="146" t="s">
        <v>204</v>
      </c>
      <c r="C103" s="146">
        <v>14.282</v>
      </c>
      <c r="D103" s="146">
        <v>13.217000000000001</v>
      </c>
      <c r="E103" s="146">
        <v>27.499000549316406</v>
      </c>
      <c r="F103" s="146">
        <v>102.00399017333984</v>
      </c>
      <c r="G103" s="146">
        <v>95.088981628417969</v>
      </c>
      <c r="H103" s="146">
        <v>197.09297180175781</v>
      </c>
      <c r="I103" s="146">
        <v>2.8623230457305908</v>
      </c>
      <c r="J103" s="146">
        <v>4.4473867416381836</v>
      </c>
      <c r="K103" s="146">
        <v>7.4690265655517578</v>
      </c>
      <c r="L103" s="146">
        <v>11.916412353515625</v>
      </c>
      <c r="M103" s="146">
        <v>344.22152709960938</v>
      </c>
      <c r="N103" s="146">
        <v>481.70404052734375</v>
      </c>
      <c r="O103" s="146">
        <v>468.83694458007813</v>
      </c>
      <c r="P103" s="146">
        <v>950.54095458984375</v>
      </c>
      <c r="Q103" s="146">
        <v>6.0277066230773926</v>
      </c>
      <c r="R103" s="146">
        <v>25.049371719360352</v>
      </c>
      <c r="S103" s="146">
        <v>28.021022796630859</v>
      </c>
      <c r="T103" s="146">
        <v>53.070392608642578</v>
      </c>
      <c r="U103" s="146">
        <v>579.41259765625</v>
      </c>
      <c r="V103" s="146">
        <v>1099.638671875</v>
      </c>
      <c r="W103" s="146">
        <v>1036.8231201171875</v>
      </c>
      <c r="X103" s="146">
        <v>2136.4619140625</v>
      </c>
      <c r="Y103" s="146">
        <v>3.9999996079131961E-4</v>
      </c>
      <c r="Z103" s="146">
        <v>4.7932863235473633</v>
      </c>
      <c r="AA103">
        <v>0</v>
      </c>
      <c r="AB103">
        <v>7.5543895363807678E-3</v>
      </c>
      <c r="AC103">
        <v>7.8171836212277412E-3</v>
      </c>
      <c r="AD103">
        <v>1.5371574088931084E-2</v>
      </c>
      <c r="AE103">
        <v>0.62503987550735474</v>
      </c>
      <c r="AF103">
        <v>2.646526575088501</v>
      </c>
      <c r="AG103">
        <v>6.4695563316345215</v>
      </c>
      <c r="AH103">
        <v>9.1160821914672852</v>
      </c>
    </row>
    <row r="104" spans="1:34">
      <c r="A104" s="146" t="s">
        <v>337</v>
      </c>
      <c r="B104" s="146" t="s">
        <v>183</v>
      </c>
      <c r="C104" s="146">
        <v>15.962999999999999</v>
      </c>
      <c r="D104" s="146">
        <v>15.593</v>
      </c>
      <c r="E104" s="146">
        <v>31.555999755859375</v>
      </c>
      <c r="F104" s="146">
        <v>107.61099243164063</v>
      </c>
      <c r="G104" s="146">
        <v>107.43698883056641</v>
      </c>
      <c r="H104" s="146">
        <v>215.0479736328125</v>
      </c>
      <c r="I104" s="146">
        <v>12.512805938720703</v>
      </c>
      <c r="J104" s="146">
        <v>12.314525604248047</v>
      </c>
      <c r="K104" s="146">
        <v>11.586274147033691</v>
      </c>
      <c r="L104" s="146">
        <v>23.900800704956055</v>
      </c>
      <c r="M104" s="146">
        <v>1219.83740234375</v>
      </c>
      <c r="N104" s="146">
        <v>1072.579345703125</v>
      </c>
      <c r="O104" s="146">
        <v>978.48974609375</v>
      </c>
      <c r="P104" s="146">
        <v>2051.069091796875</v>
      </c>
      <c r="Q104" s="146">
        <v>29.060741424560547</v>
      </c>
      <c r="R104" s="146">
        <v>54.909194946289063</v>
      </c>
      <c r="S104" s="146">
        <v>56.167003631591797</v>
      </c>
      <c r="T104" s="146">
        <v>111.07619476318359</v>
      </c>
      <c r="U104" s="146">
        <v>2632.10888671875</v>
      </c>
      <c r="V104" s="146">
        <v>2734.845947265625</v>
      </c>
      <c r="W104" s="146">
        <v>2337.472900390625</v>
      </c>
      <c r="X104" s="146">
        <v>5072.3193359375</v>
      </c>
      <c r="Y104" s="146">
        <v>5.6183290481567383</v>
      </c>
      <c r="Z104" s="146">
        <v>563.0501708984375</v>
      </c>
      <c r="AA104">
        <v>3.9518244564533234E-2</v>
      </c>
      <c r="AB104">
        <v>3.4535214304924011E-2</v>
      </c>
      <c r="AC104">
        <v>3.8849752396345139E-2</v>
      </c>
      <c r="AD104">
        <v>7.3384970426559448E-2</v>
      </c>
      <c r="AE104">
        <v>5.9442610740661621</v>
      </c>
      <c r="AF104">
        <v>12.56440544128418</v>
      </c>
      <c r="AG104">
        <v>16.720111846923828</v>
      </c>
      <c r="AH104">
        <v>29.284515380859375</v>
      </c>
    </row>
    <row r="105" spans="1:34">
      <c r="A105" s="146" t="s">
        <v>330</v>
      </c>
      <c r="B105" s="146" t="s">
        <v>176</v>
      </c>
      <c r="C105" s="146">
        <v>1310.876</v>
      </c>
      <c r="D105" s="146">
        <v>1274.008</v>
      </c>
      <c r="E105" s="146">
        <v>2584.884033203125</v>
      </c>
      <c r="F105" s="146">
        <v>7946.43359375</v>
      </c>
      <c r="G105" s="146">
        <v>8349.927734375</v>
      </c>
      <c r="H105" s="146">
        <v>16296.361328125</v>
      </c>
      <c r="I105" s="146">
        <v>1692.3760986328125</v>
      </c>
      <c r="J105" s="146">
        <v>3039.951904296875</v>
      </c>
      <c r="K105" s="146">
        <v>2303.039794921875</v>
      </c>
      <c r="L105" s="146">
        <v>5342.9912109375</v>
      </c>
      <c r="M105" s="146">
        <v>163389.109375</v>
      </c>
      <c r="N105" s="146">
        <v>194749.140625</v>
      </c>
      <c r="O105" s="146">
        <v>149398.53125</v>
      </c>
      <c r="P105" s="146">
        <v>344147.65625</v>
      </c>
      <c r="Q105" s="146">
        <v>3177.637939453125</v>
      </c>
      <c r="R105" s="146">
        <v>3670.3515625</v>
      </c>
      <c r="S105" s="146">
        <v>3529.123046875</v>
      </c>
      <c r="T105" s="146">
        <v>7199.474609375</v>
      </c>
      <c r="U105" s="146">
        <v>286201.8125</v>
      </c>
      <c r="V105" s="146">
        <v>228011.953125</v>
      </c>
      <c r="W105" s="146">
        <v>196913.140625</v>
      </c>
      <c r="X105" s="146">
        <v>424925.03125</v>
      </c>
      <c r="Y105" s="146">
        <v>334.65304565429688</v>
      </c>
      <c r="Z105" s="146">
        <v>33133.29296875</v>
      </c>
      <c r="AA105">
        <v>11.647042274475098</v>
      </c>
      <c r="AB105">
        <v>9.9260416030883789</v>
      </c>
      <c r="AC105">
        <v>8.037745475769043</v>
      </c>
      <c r="AD105">
        <v>17.96379280090332</v>
      </c>
      <c r="AE105">
        <v>2539.45263671875</v>
      </c>
      <c r="AF105">
        <v>6268.5478515625</v>
      </c>
      <c r="AG105">
        <v>10976.5888671875</v>
      </c>
      <c r="AH105">
        <v>17245.12890625</v>
      </c>
    </row>
    <row r="106" spans="1:34">
      <c r="A106" s="146" t="s">
        <v>335</v>
      </c>
      <c r="B106" s="146" t="s">
        <v>181</v>
      </c>
      <c r="C106" s="146">
        <v>218.25399999999999</v>
      </c>
      <c r="D106" s="146">
        <v>203.65100000000001</v>
      </c>
      <c r="E106" s="146">
        <v>421.90499877929688</v>
      </c>
      <c r="F106" s="146">
        <v>4297.4443359375</v>
      </c>
      <c r="G106" s="146">
        <v>4474.78466796875</v>
      </c>
      <c r="H106" s="146">
        <v>8772.228515625</v>
      </c>
      <c r="I106" s="146">
        <v>0.57722640037536621</v>
      </c>
      <c r="J106" s="146">
        <v>72.033370971679688</v>
      </c>
      <c r="K106" s="146">
        <v>94.9912109375</v>
      </c>
      <c r="L106" s="146">
        <v>167.02459716796875</v>
      </c>
      <c r="M106" s="146">
        <v>870.82177734375</v>
      </c>
      <c r="N106" s="146">
        <v>6724.30224609375</v>
      </c>
      <c r="O106" s="146">
        <v>6982.11669921875</v>
      </c>
      <c r="P106" s="146">
        <v>13706.41796875</v>
      </c>
      <c r="Q106" s="146">
        <v>17.354948043823242</v>
      </c>
      <c r="R106" s="146">
        <v>1059.6905517578125</v>
      </c>
      <c r="S106" s="146">
        <v>776.48345947265625</v>
      </c>
      <c r="T106" s="146">
        <v>1836.1739501953125</v>
      </c>
      <c r="U106" s="146">
        <v>2016.7176513671875</v>
      </c>
      <c r="V106" s="146">
        <v>25615.341796875</v>
      </c>
      <c r="W106" s="146">
        <v>17946.34765625</v>
      </c>
      <c r="X106" s="146">
        <v>43561.6953125</v>
      </c>
      <c r="Y106" s="146">
        <v>0.17745605111122131</v>
      </c>
      <c r="Z106" s="146">
        <v>274.03582763671875</v>
      </c>
      <c r="AA106">
        <v>0</v>
      </c>
      <c r="AB106">
        <v>0</v>
      </c>
      <c r="AC106">
        <v>0</v>
      </c>
      <c r="AD106">
        <v>0</v>
      </c>
      <c r="AE106">
        <v>0</v>
      </c>
      <c r="AF106">
        <v>0</v>
      </c>
      <c r="AG106">
        <v>0</v>
      </c>
      <c r="AH106">
        <v>0</v>
      </c>
    </row>
    <row r="107" spans="1:34">
      <c r="A107" s="146" t="s">
        <v>332</v>
      </c>
      <c r="B107" s="146" t="s">
        <v>178</v>
      </c>
      <c r="C107" s="146">
        <v>575.13599999999997</v>
      </c>
      <c r="D107" s="146">
        <v>572.17499999999995</v>
      </c>
      <c r="E107" s="146">
        <v>1147.31103515625</v>
      </c>
      <c r="F107" s="146">
        <v>3898.349365234375</v>
      </c>
      <c r="G107" s="146">
        <v>3914.85693359375</v>
      </c>
      <c r="H107" s="146">
        <v>7813.2060546875</v>
      </c>
      <c r="I107" s="146">
        <v>2317.251708984375</v>
      </c>
      <c r="J107" s="146">
        <v>3050.933837890625</v>
      </c>
      <c r="K107" s="146">
        <v>2223.919189453125</v>
      </c>
      <c r="L107" s="146">
        <v>5274.85205078125</v>
      </c>
      <c r="M107" s="146">
        <v>209998.265625</v>
      </c>
      <c r="N107" s="146">
        <v>202808.53125</v>
      </c>
      <c r="O107" s="146">
        <v>150485.296875</v>
      </c>
      <c r="P107" s="146">
        <v>353293.71875</v>
      </c>
      <c r="Q107" s="146">
        <v>3937.08203125</v>
      </c>
      <c r="R107" s="146">
        <v>3910.26611328125</v>
      </c>
      <c r="S107" s="146">
        <v>3519.9677734375</v>
      </c>
      <c r="T107" s="146">
        <v>7430.23388671875</v>
      </c>
      <c r="U107" s="146">
        <v>352726.25</v>
      </c>
      <c r="V107" s="146">
        <v>261526.4375</v>
      </c>
      <c r="W107" s="146">
        <v>221655.640625</v>
      </c>
      <c r="X107" s="146">
        <v>483181.96875</v>
      </c>
      <c r="Y107" s="146">
        <v>702.22528076171875</v>
      </c>
      <c r="Z107" s="146">
        <v>65431.48046875</v>
      </c>
      <c r="AA107">
        <v>8.1849536895751953</v>
      </c>
      <c r="AB107">
        <v>7.2589054107666016</v>
      </c>
      <c r="AC107">
        <v>7.4856019020080566</v>
      </c>
      <c r="AD107">
        <v>14.744508743286133</v>
      </c>
      <c r="AE107">
        <v>1228.595703125</v>
      </c>
      <c r="AF107">
        <v>2622.88671875</v>
      </c>
      <c r="AG107">
        <v>3254.78955078125</v>
      </c>
      <c r="AH107">
        <v>5877.67626953125</v>
      </c>
    </row>
    <row r="108" spans="1:34">
      <c r="A108" s="146" t="s">
        <v>331</v>
      </c>
      <c r="B108" s="146" t="s">
        <v>177</v>
      </c>
      <c r="C108" s="146">
        <v>52.521000000000001</v>
      </c>
      <c r="D108" s="146">
        <v>49.427999999999997</v>
      </c>
      <c r="E108" s="146">
        <v>101.94899749755859</v>
      </c>
      <c r="F108" s="146">
        <v>340.58203125</v>
      </c>
      <c r="G108" s="146">
        <v>329.23904418945313</v>
      </c>
      <c r="H108" s="146">
        <v>669.821044921875</v>
      </c>
      <c r="I108" s="146">
        <v>25.959762573242188</v>
      </c>
      <c r="J108" s="146">
        <v>96.943992614746094</v>
      </c>
      <c r="K108" s="146">
        <v>121.30571746826172</v>
      </c>
      <c r="L108" s="146">
        <v>218.24969482421875</v>
      </c>
      <c r="M108" s="146">
        <v>2758.95361328125</v>
      </c>
      <c r="N108" s="146">
        <v>5044.7998046875</v>
      </c>
      <c r="O108" s="146">
        <v>4406.8134765625</v>
      </c>
      <c r="P108" s="146">
        <v>9451.615234375</v>
      </c>
      <c r="Q108" s="146">
        <v>51.028663635253906</v>
      </c>
      <c r="R108" s="146">
        <v>211.79579162597656</v>
      </c>
      <c r="S108" s="146">
        <v>159.006591796875</v>
      </c>
      <c r="T108" s="146">
        <v>370.80233764648438</v>
      </c>
      <c r="U108" s="146">
        <v>4720.4658203125</v>
      </c>
      <c r="V108" s="146">
        <v>9151.0576171875</v>
      </c>
      <c r="W108" s="146">
        <v>6127.6494140625</v>
      </c>
      <c r="X108" s="146">
        <v>15278.7060546875</v>
      </c>
      <c r="Y108" s="146">
        <v>4.7470970153808594</v>
      </c>
      <c r="Z108" s="146">
        <v>509.29507446289063</v>
      </c>
      <c r="AA108">
        <v>1.6826830804347992E-2</v>
      </c>
      <c r="AB108">
        <v>6.6186226904392242E-2</v>
      </c>
      <c r="AC108">
        <v>6.6694892942905426E-2</v>
      </c>
      <c r="AD108">
        <v>0.13288110494613647</v>
      </c>
      <c r="AE108">
        <v>42.878810882568359</v>
      </c>
      <c r="AF108">
        <v>194.57229614257813</v>
      </c>
      <c r="AG108">
        <v>340.69662475585938</v>
      </c>
      <c r="AH108">
        <v>535.2689208984375</v>
      </c>
    </row>
    <row r="109" spans="1:34">
      <c r="A109" s="146" t="s">
        <v>334</v>
      </c>
      <c r="B109" s="146" t="s">
        <v>180</v>
      </c>
      <c r="C109" s="146">
        <v>1385.203</v>
      </c>
      <c r="D109" s="146">
        <v>1363.972</v>
      </c>
      <c r="E109" s="146">
        <v>2749.175048828125</v>
      </c>
      <c r="F109" s="146">
        <v>7700.19580078125</v>
      </c>
      <c r="G109" s="146">
        <v>7742.70947265625</v>
      </c>
      <c r="H109" s="146">
        <v>15442.9052734375</v>
      </c>
      <c r="I109" s="146">
        <v>7304.59375</v>
      </c>
      <c r="J109" s="146">
        <v>8107.1875</v>
      </c>
      <c r="K109" s="146">
        <v>7255.4853515625</v>
      </c>
      <c r="L109" s="146">
        <v>15362.6708984375</v>
      </c>
      <c r="M109" s="146">
        <v>656791</v>
      </c>
      <c r="N109" s="146">
        <v>558991.1875</v>
      </c>
      <c r="O109" s="146">
        <v>487051.3125</v>
      </c>
      <c r="P109" s="146">
        <v>1046042.4375</v>
      </c>
      <c r="Q109" s="146">
        <v>14592.259765625</v>
      </c>
      <c r="R109" s="146">
        <v>12435.9453125</v>
      </c>
      <c r="S109" s="146">
        <v>9632.9736328125</v>
      </c>
      <c r="T109" s="146">
        <v>22068.919921875</v>
      </c>
      <c r="U109" s="146">
        <v>1299108</v>
      </c>
      <c r="V109" s="146">
        <v>881184.0625</v>
      </c>
      <c r="W109" s="146">
        <v>711871.125</v>
      </c>
      <c r="X109" s="146">
        <v>1593055.125</v>
      </c>
      <c r="Y109" s="146">
        <v>2342.14599609375</v>
      </c>
      <c r="Z109" s="146">
        <v>221668.34375</v>
      </c>
      <c r="AA109">
        <v>15.383923530578613</v>
      </c>
      <c r="AB109">
        <v>16.460700988769531</v>
      </c>
      <c r="AC109">
        <v>13.117915153503418</v>
      </c>
      <c r="AD109">
        <v>29.578617095947266</v>
      </c>
      <c r="AE109">
        <v>3130.84814453125</v>
      </c>
      <c r="AF109">
        <v>8683.673828125</v>
      </c>
      <c r="AG109">
        <v>13704.3466796875</v>
      </c>
      <c r="AH109">
        <v>22388.017578125</v>
      </c>
    </row>
    <row r="110" spans="1:34">
      <c r="A110" s="146" t="s">
        <v>358</v>
      </c>
      <c r="B110" s="146" t="s">
        <v>206</v>
      </c>
      <c r="C110" s="146">
        <v>2929.5410000000002</v>
      </c>
      <c r="D110" s="146">
        <v>2856.07</v>
      </c>
      <c r="E110" s="146">
        <v>5785.61083984375</v>
      </c>
      <c r="F110" s="146">
        <v>28859.302734375</v>
      </c>
      <c r="G110" s="146">
        <v>29698.962890625</v>
      </c>
      <c r="H110" s="146">
        <v>58558.265625</v>
      </c>
      <c r="I110" s="146">
        <v>2989.41259765625</v>
      </c>
      <c r="J110" s="146">
        <v>7549.45166015625</v>
      </c>
      <c r="K110" s="146">
        <v>8293.7021484375</v>
      </c>
      <c r="L110" s="146">
        <v>15843.154296875</v>
      </c>
      <c r="M110" s="146">
        <v>276217.125</v>
      </c>
      <c r="N110" s="146">
        <v>426474.75</v>
      </c>
      <c r="O110" s="146">
        <v>414554.53125</v>
      </c>
      <c r="P110" s="146">
        <v>841029.1875</v>
      </c>
      <c r="Q110" s="146">
        <v>7102.365234375</v>
      </c>
      <c r="R110" s="146">
        <v>21760.775390625</v>
      </c>
      <c r="S110" s="146">
        <v>17822.181640625</v>
      </c>
      <c r="T110" s="146">
        <v>39582.9609375</v>
      </c>
      <c r="U110" s="146">
        <v>643734.9375</v>
      </c>
      <c r="V110" s="146">
        <v>1044272.6875</v>
      </c>
      <c r="W110" s="146">
        <v>830896.75</v>
      </c>
      <c r="X110" s="146">
        <v>1875169.375</v>
      </c>
      <c r="Y110" s="146">
        <v>1351.336181640625</v>
      </c>
      <c r="Z110" s="146">
        <v>128986.84375</v>
      </c>
      <c r="AA110">
        <v>0.83742839097976685</v>
      </c>
      <c r="AB110">
        <v>1.6442601680755615</v>
      </c>
      <c r="AC110">
        <v>1.1773114204406738</v>
      </c>
      <c r="AD110">
        <v>2.8215718269348145</v>
      </c>
      <c r="AE110">
        <v>631.191162109375</v>
      </c>
      <c r="AF110">
        <v>4543.63037109375</v>
      </c>
      <c r="AG110">
        <v>8824.388671875</v>
      </c>
      <c r="AH110">
        <v>13368.015625</v>
      </c>
    </row>
    <row r="111" spans="1:34">
      <c r="A111" s="146" t="s">
        <v>336</v>
      </c>
      <c r="B111" s="146" t="s">
        <v>182</v>
      </c>
      <c r="C111" s="146">
        <v>860</v>
      </c>
      <c r="D111" s="146">
        <v>837.85500000000002</v>
      </c>
      <c r="E111" s="146">
        <v>1697.85498046875</v>
      </c>
      <c r="F111" s="146">
        <v>5536.52978515625</v>
      </c>
      <c r="G111" s="146">
        <v>5525.58447265625</v>
      </c>
      <c r="H111" s="146">
        <v>11062.1142578125</v>
      </c>
      <c r="I111" s="146">
        <v>3157.417724609375</v>
      </c>
      <c r="J111" s="146">
        <v>3897.265380859375</v>
      </c>
      <c r="K111" s="146">
        <v>3372.3779296875</v>
      </c>
      <c r="L111" s="146">
        <v>7269.642578125</v>
      </c>
      <c r="M111" s="146">
        <v>286375</v>
      </c>
      <c r="N111" s="146">
        <v>248407.125</v>
      </c>
      <c r="O111" s="146">
        <v>217857.390625</v>
      </c>
      <c r="P111" s="146">
        <v>466264.5</v>
      </c>
      <c r="Q111" s="146">
        <v>7188.4404296875</v>
      </c>
      <c r="R111" s="146">
        <v>5385.11865234375</v>
      </c>
      <c r="S111" s="146">
        <v>4608.46142578125</v>
      </c>
      <c r="T111" s="146">
        <v>9993.58203125</v>
      </c>
      <c r="U111" s="146">
        <v>639723.8125</v>
      </c>
      <c r="V111" s="146">
        <v>394428</v>
      </c>
      <c r="W111" s="146">
        <v>339223.09375</v>
      </c>
      <c r="X111" s="146">
        <v>733651.0625</v>
      </c>
      <c r="Y111" s="146">
        <v>1034.9483642578125</v>
      </c>
      <c r="Z111" s="146">
        <v>99356.2421875</v>
      </c>
      <c r="AA111">
        <v>7.7714543342590332</v>
      </c>
      <c r="AB111">
        <v>5.8323302268981934</v>
      </c>
      <c r="AC111">
        <v>5.4271259307861328</v>
      </c>
      <c r="AD111">
        <v>11.259455680847168</v>
      </c>
      <c r="AE111">
        <v>1681.3992919921875</v>
      </c>
      <c r="AF111">
        <v>4819.2529296875</v>
      </c>
      <c r="AG111">
        <v>7439.8505859375</v>
      </c>
      <c r="AH111">
        <v>12259.1044921875</v>
      </c>
    </row>
    <row r="112" spans="1:34">
      <c r="A112" s="146" t="s">
        <v>297</v>
      </c>
      <c r="B112" s="146" t="s">
        <v>143</v>
      </c>
      <c r="C112" s="146">
        <v>852.72400000000005</v>
      </c>
      <c r="D112" s="146">
        <v>824.74400000000003</v>
      </c>
      <c r="E112" s="146">
        <v>1677.468017578125</v>
      </c>
      <c r="F112" s="146">
        <v>10233.4150390625</v>
      </c>
      <c r="G112" s="146">
        <v>11090.3193359375</v>
      </c>
      <c r="H112" s="146">
        <v>21323.734375</v>
      </c>
      <c r="I112" s="146">
        <v>30.730619430541992</v>
      </c>
      <c r="J112" s="146">
        <v>256.23934936523438</v>
      </c>
      <c r="K112" s="146">
        <v>348.43048095703125</v>
      </c>
      <c r="L112" s="146">
        <v>604.66973876953125</v>
      </c>
      <c r="M112" s="146">
        <v>7343.3095703125</v>
      </c>
      <c r="N112" s="146">
        <v>18034.125</v>
      </c>
      <c r="O112" s="146">
        <v>18168.11328125</v>
      </c>
      <c r="P112" s="146">
        <v>36202.2421875</v>
      </c>
      <c r="Q112" s="146">
        <v>140.70259094238281</v>
      </c>
      <c r="R112" s="146">
        <v>2879.51953125</v>
      </c>
      <c r="S112" s="146">
        <v>2241.8232421875</v>
      </c>
      <c r="T112" s="146">
        <v>5121.34228515625</v>
      </c>
      <c r="U112" s="146">
        <v>15513.12109375</v>
      </c>
      <c r="V112" s="146">
        <v>79114.7265625</v>
      </c>
      <c r="W112" s="146">
        <v>57862.48828125</v>
      </c>
      <c r="X112" s="146">
        <v>136977.1875</v>
      </c>
      <c r="Y112" s="146">
        <v>1.6068733930587769</v>
      </c>
      <c r="Z112" s="146">
        <v>7609.64111328125</v>
      </c>
      <c r="AA112">
        <v>4.1165836155414581E-2</v>
      </c>
      <c r="AB112">
        <v>0.25632929801940918</v>
      </c>
      <c r="AC112">
        <v>0.32630491256713867</v>
      </c>
      <c r="AD112">
        <v>0.58263421058654785</v>
      </c>
      <c r="AE112">
        <v>117.70449829101563</v>
      </c>
      <c r="AF112">
        <v>825.48114013671875</v>
      </c>
      <c r="AG112">
        <v>1619.3917236328125</v>
      </c>
      <c r="AH112">
        <v>2444.87255859375</v>
      </c>
    </row>
    <row r="113" spans="1:34">
      <c r="A113" s="146" t="s">
        <v>329</v>
      </c>
      <c r="B113" s="146" t="s">
        <v>175</v>
      </c>
      <c r="C113" s="146">
        <v>3169.0410000000002</v>
      </c>
      <c r="D113" s="146">
        <v>3077.0010000000002</v>
      </c>
      <c r="E113" s="146">
        <v>6246.0419921875</v>
      </c>
      <c r="F113" s="146">
        <v>21387.95703125</v>
      </c>
      <c r="G113" s="146">
        <v>21425.28125</v>
      </c>
      <c r="H113" s="146">
        <v>42813.23828125</v>
      </c>
      <c r="I113" s="146">
        <v>4679.123046875</v>
      </c>
      <c r="J113" s="146">
        <v>3707.889404296875</v>
      </c>
      <c r="K113" s="146">
        <v>2569.050537109375</v>
      </c>
      <c r="L113" s="146">
        <v>6276.93994140625</v>
      </c>
      <c r="M113" s="146">
        <v>453490.5625</v>
      </c>
      <c r="N113" s="146">
        <v>338980.5625</v>
      </c>
      <c r="O113" s="146">
        <v>251501.359375</v>
      </c>
      <c r="P113" s="146">
        <v>590481.9375</v>
      </c>
      <c r="Q113" s="146">
        <v>8484.814453125</v>
      </c>
      <c r="R113" s="146">
        <v>6988.61376953125</v>
      </c>
      <c r="S113" s="146">
        <v>5636.033203125</v>
      </c>
      <c r="T113" s="146">
        <v>12624.650390625</v>
      </c>
      <c r="U113" s="146">
        <v>764212.875</v>
      </c>
      <c r="V113" s="146">
        <v>528213.125</v>
      </c>
      <c r="W113" s="146">
        <v>411705.625</v>
      </c>
      <c r="X113" s="146">
        <v>939918.8125</v>
      </c>
      <c r="Y113" s="146">
        <v>801.92626953125</v>
      </c>
      <c r="Z113" s="146">
        <v>111713.7890625</v>
      </c>
      <c r="AA113">
        <v>13.696818351745605</v>
      </c>
      <c r="AB113">
        <v>12.50446605682373</v>
      </c>
      <c r="AC113">
        <v>8.3256454467773438</v>
      </c>
      <c r="AD113">
        <v>20.830108642578125</v>
      </c>
      <c r="AE113">
        <v>1624.2711181640625</v>
      </c>
      <c r="AF113">
        <v>2542.2470703125</v>
      </c>
      <c r="AG113">
        <v>4232.91650390625</v>
      </c>
      <c r="AH113">
        <v>6775.16357421875</v>
      </c>
    </row>
    <row r="114" spans="1:34">
      <c r="A114" s="146" t="s">
        <v>338</v>
      </c>
      <c r="B114" s="146" t="s">
        <v>184</v>
      </c>
      <c r="C114" s="146">
        <v>27.201000000000001</v>
      </c>
      <c r="D114" s="146">
        <v>25.25</v>
      </c>
      <c r="E114" s="146">
        <v>52.451000213623047</v>
      </c>
      <c r="F114" s="146">
        <v>292.2550048828125</v>
      </c>
      <c r="G114" s="146">
        <v>289.10809326171875</v>
      </c>
      <c r="H114" s="146">
        <v>581.36309814453125</v>
      </c>
      <c r="I114" s="146">
        <v>0.55760812759399414</v>
      </c>
      <c r="J114" s="146">
        <v>14.477436065673828</v>
      </c>
      <c r="K114" s="146">
        <v>16.98259162902832</v>
      </c>
      <c r="L114" s="146">
        <v>31.460029602050781</v>
      </c>
      <c r="M114" s="146">
        <v>188.90676879882813</v>
      </c>
      <c r="N114" s="146">
        <v>913.27337646484375</v>
      </c>
      <c r="O114" s="146">
        <v>858.26153564453125</v>
      </c>
      <c r="P114" s="146">
        <v>1771.534912109375</v>
      </c>
      <c r="Q114" s="146">
        <v>10.192955017089844</v>
      </c>
      <c r="R114" s="146">
        <v>95.416465759277344</v>
      </c>
      <c r="S114" s="146">
        <v>75.216751098632813</v>
      </c>
      <c r="T114" s="146">
        <v>170.63322448730469</v>
      </c>
      <c r="U114" s="146">
        <v>998.45831298828125</v>
      </c>
      <c r="V114" s="146">
        <v>2743.944091796875</v>
      </c>
      <c r="W114" s="146">
        <v>2000.61279296875</v>
      </c>
      <c r="X114" s="146">
        <v>4744.556640625</v>
      </c>
      <c r="Y114" s="146">
        <v>1.6589705944061279</v>
      </c>
      <c r="Z114" s="146">
        <v>189.6142578125</v>
      </c>
      <c r="AA114">
        <v>7.5503382831811905E-3</v>
      </c>
      <c r="AB114">
        <v>2.7549559250473976E-2</v>
      </c>
      <c r="AC114">
        <v>2.3610267788171768E-2</v>
      </c>
      <c r="AD114">
        <v>5.1159821450710297E-2</v>
      </c>
      <c r="AE114">
        <v>1.7311385869979858</v>
      </c>
      <c r="AF114">
        <v>7.7216205596923828</v>
      </c>
      <c r="AG114">
        <v>25.554452896118164</v>
      </c>
      <c r="AH114">
        <v>33.276054382324219</v>
      </c>
    </row>
    <row r="115" spans="1:34">
      <c r="A115" s="146" t="s">
        <v>340</v>
      </c>
      <c r="B115" s="146" t="s">
        <v>186</v>
      </c>
      <c r="C115" s="146">
        <v>932.30200000000002</v>
      </c>
      <c r="D115" s="146">
        <v>894.02499999999998</v>
      </c>
      <c r="E115" s="146">
        <v>1826.3270263671875</v>
      </c>
      <c r="F115" s="146">
        <v>8554.5517578125</v>
      </c>
      <c r="G115" s="146">
        <v>8515.5830078125</v>
      </c>
      <c r="H115" s="146">
        <v>17070.134765625</v>
      </c>
      <c r="I115" s="146">
        <v>1958.3773193359375</v>
      </c>
      <c r="J115" s="146">
        <v>1182.1666259765625</v>
      </c>
      <c r="K115" s="146">
        <v>973.72210693359375</v>
      </c>
      <c r="L115" s="146">
        <v>2155.888671875</v>
      </c>
      <c r="M115" s="146">
        <v>179350.0625</v>
      </c>
      <c r="N115" s="146">
        <v>115490.0546875</v>
      </c>
      <c r="O115" s="146">
        <v>96500.9453125</v>
      </c>
      <c r="P115" s="146">
        <v>211990.984375</v>
      </c>
      <c r="Q115" s="146">
        <v>904.84906005859375</v>
      </c>
      <c r="R115" s="146">
        <v>1564.3714599609375</v>
      </c>
      <c r="S115" s="146">
        <v>1397.29052734375</v>
      </c>
      <c r="T115" s="146">
        <v>2961.662109375</v>
      </c>
      <c r="U115" s="146">
        <v>83481.2265625</v>
      </c>
      <c r="V115" s="146">
        <v>95865.203125</v>
      </c>
      <c r="W115" s="146">
        <v>79295.5234375</v>
      </c>
      <c r="X115" s="146">
        <v>175160.703125</v>
      </c>
      <c r="Y115" s="146">
        <v>22.567319869995117</v>
      </c>
      <c r="Z115" s="146">
        <v>7861.36865234375</v>
      </c>
      <c r="AA115">
        <v>0.11096328496932983</v>
      </c>
      <c r="AB115">
        <v>0.54083704948425293</v>
      </c>
      <c r="AC115">
        <v>0.47055542469024658</v>
      </c>
      <c r="AD115">
        <v>1.01139235496521</v>
      </c>
      <c r="AE115">
        <v>72.374443054199219</v>
      </c>
      <c r="AF115">
        <v>314.51669311523438</v>
      </c>
      <c r="AG115">
        <v>437.6036376953125</v>
      </c>
      <c r="AH115">
        <v>752.12054443359375</v>
      </c>
    </row>
    <row r="116" spans="1:34">
      <c r="A116" s="146" t="s">
        <v>344</v>
      </c>
      <c r="B116" s="146" t="s">
        <v>190</v>
      </c>
      <c r="C116" s="146">
        <v>692.25699999999995</v>
      </c>
      <c r="D116" s="146">
        <v>654.58299999999997</v>
      </c>
      <c r="E116" s="146">
        <v>1346.8399658203125</v>
      </c>
      <c r="F116" s="146">
        <v>4697.953125</v>
      </c>
      <c r="G116" s="146">
        <v>4623.0703125</v>
      </c>
      <c r="H116" s="146">
        <v>9321.0234375</v>
      </c>
      <c r="I116" s="146">
        <v>608.66351318359375</v>
      </c>
      <c r="J116" s="146">
        <v>412.55288696289063</v>
      </c>
      <c r="K116" s="146">
        <v>321.45098876953125</v>
      </c>
      <c r="L116" s="146">
        <v>734.00390625</v>
      </c>
      <c r="M116" s="146">
        <v>57927.328125</v>
      </c>
      <c r="N116" s="146">
        <v>42369.20703125</v>
      </c>
      <c r="O116" s="146">
        <v>34721.62109375</v>
      </c>
      <c r="P116" s="146">
        <v>77090.84375</v>
      </c>
      <c r="Q116" s="146">
        <v>1975.5819091796875</v>
      </c>
      <c r="R116" s="146">
        <v>1764.4716796875</v>
      </c>
      <c r="S116" s="146">
        <v>1411.2509765625</v>
      </c>
      <c r="T116" s="146">
        <v>3175.722412109375</v>
      </c>
      <c r="U116" s="146">
        <v>177550.375</v>
      </c>
      <c r="V116" s="146">
        <v>126784.390625</v>
      </c>
      <c r="W116" s="146">
        <v>98212.5234375</v>
      </c>
      <c r="X116" s="146">
        <v>224996.921875</v>
      </c>
      <c r="Y116" s="146">
        <v>1.7522438764572144</v>
      </c>
      <c r="Z116" s="146">
        <v>2845.412109375</v>
      </c>
      <c r="AA116">
        <v>0.40220871567726135</v>
      </c>
      <c r="AB116">
        <v>0.323383629322052</v>
      </c>
      <c r="AC116">
        <v>0.17252686619758606</v>
      </c>
      <c r="AD116">
        <v>0.49591043591499329</v>
      </c>
      <c r="AE116">
        <v>79.673057556152344</v>
      </c>
      <c r="AF116">
        <v>150.32244873046875</v>
      </c>
      <c r="AG116">
        <v>359.29421997070313</v>
      </c>
      <c r="AH116">
        <v>509.61663818359375</v>
      </c>
    </row>
    <row r="117" spans="1:34">
      <c r="A117" s="146" t="s">
        <v>343</v>
      </c>
      <c r="B117" s="146" t="s">
        <v>189</v>
      </c>
      <c r="C117" s="146">
        <v>1876.615</v>
      </c>
      <c r="D117" s="146">
        <v>1771.3019999999999</v>
      </c>
      <c r="E117" s="146">
        <v>3647.9169921875</v>
      </c>
      <c r="F117" s="146">
        <v>33904.84765625</v>
      </c>
      <c r="G117" s="146">
        <v>35720.73828125</v>
      </c>
      <c r="H117" s="146">
        <v>69625.5859375</v>
      </c>
      <c r="I117" s="146">
        <v>124.72537994384766</v>
      </c>
      <c r="J117" s="146">
        <v>3250.109619140625</v>
      </c>
      <c r="K117" s="146">
        <v>3612.98486328125</v>
      </c>
      <c r="L117" s="146">
        <v>6863.0947265625</v>
      </c>
      <c r="M117" s="146">
        <v>19098.97265625</v>
      </c>
      <c r="N117" s="146">
        <v>134099.71875</v>
      </c>
      <c r="O117" s="146">
        <v>106181.171875</v>
      </c>
      <c r="P117" s="146">
        <v>240280.859375</v>
      </c>
      <c r="Q117" s="146">
        <v>528.28997802734375</v>
      </c>
      <c r="R117" s="146">
        <v>17035.431640625</v>
      </c>
      <c r="S117" s="146">
        <v>14278.619140625</v>
      </c>
      <c r="T117" s="146">
        <v>31314.048828125</v>
      </c>
      <c r="U117" s="146">
        <v>55397.875</v>
      </c>
      <c r="V117" s="146">
        <v>401699.5625</v>
      </c>
      <c r="W117" s="146">
        <v>286434.625</v>
      </c>
      <c r="X117" s="146">
        <v>688134.1875</v>
      </c>
      <c r="Y117" s="146">
        <v>2.4623720645904541</v>
      </c>
      <c r="Z117" s="146">
        <v>4891.91015625</v>
      </c>
      <c r="AA117">
        <v>0.1166793629527092</v>
      </c>
      <c r="AB117">
        <v>2.1686801910400391</v>
      </c>
      <c r="AC117">
        <v>1.6458981037139893</v>
      </c>
      <c r="AD117">
        <v>3.8145785331726074</v>
      </c>
      <c r="AE117">
        <v>121.78455352783203</v>
      </c>
      <c r="AF117">
        <v>1098.52978515625</v>
      </c>
      <c r="AG117">
        <v>1396.7330322265625</v>
      </c>
      <c r="AH117">
        <v>2495.262939453125</v>
      </c>
    </row>
    <row r="118" spans="1:34">
      <c r="A118" s="146" t="s">
        <v>346</v>
      </c>
      <c r="B118" s="146" t="s">
        <v>192</v>
      </c>
      <c r="C118" s="146">
        <v>88.664000000000001</v>
      </c>
      <c r="D118" s="146">
        <v>85.408000000000001</v>
      </c>
      <c r="E118" s="146">
        <v>174.07200622558594</v>
      </c>
      <c r="F118" s="146">
        <v>653.50701904296875</v>
      </c>
      <c r="G118" s="146">
        <v>639.613037109375</v>
      </c>
      <c r="H118" s="146">
        <v>1293.1201171875</v>
      </c>
      <c r="I118" s="146">
        <v>123.29669952392578</v>
      </c>
      <c r="J118" s="146">
        <v>160.65264892578125</v>
      </c>
      <c r="K118" s="146">
        <v>123.99867248535156</v>
      </c>
      <c r="L118" s="146">
        <v>284.65139770507813</v>
      </c>
      <c r="M118" s="146">
        <v>11673.4951171875</v>
      </c>
      <c r="N118" s="146">
        <v>10556.0087890625</v>
      </c>
      <c r="O118" s="146">
        <v>7930.56640625</v>
      </c>
      <c r="P118" s="146">
        <v>18486.576171875</v>
      </c>
      <c r="Q118" s="146">
        <v>336.38192749023438</v>
      </c>
      <c r="R118" s="146">
        <v>339.43902587890625</v>
      </c>
      <c r="S118" s="146">
        <v>312.01358032226563</v>
      </c>
      <c r="T118" s="146">
        <v>651.45269775390625</v>
      </c>
      <c r="U118" s="146">
        <v>30344.84765625</v>
      </c>
      <c r="V118" s="146">
        <v>21442.759765625</v>
      </c>
      <c r="W118" s="146">
        <v>17813.759765625</v>
      </c>
      <c r="X118" s="146">
        <v>39256.515625</v>
      </c>
      <c r="Y118" s="146">
        <v>20.74755859375</v>
      </c>
      <c r="Z118" s="146">
        <v>2987.949951171875</v>
      </c>
      <c r="AA118">
        <v>0.1960805207490921</v>
      </c>
      <c r="AB118">
        <v>0.27479714155197144</v>
      </c>
      <c r="AC118">
        <v>0.29980364441871643</v>
      </c>
      <c r="AD118">
        <v>0.57460075616836548</v>
      </c>
      <c r="AE118">
        <v>50.508457183837891</v>
      </c>
      <c r="AF118">
        <v>149.33183288574219</v>
      </c>
      <c r="AG118">
        <v>226.14695739746094</v>
      </c>
      <c r="AH118">
        <v>375.47891235351563</v>
      </c>
    </row>
    <row r="119" spans="1:34">
      <c r="A119" s="146" t="s">
        <v>342</v>
      </c>
      <c r="B119" s="146" t="s">
        <v>188</v>
      </c>
      <c r="C119" s="146">
        <v>603.70899999999995</v>
      </c>
      <c r="D119" s="146">
        <v>600.38</v>
      </c>
      <c r="E119" s="146">
        <v>1204.0889892578125</v>
      </c>
      <c r="F119" s="146">
        <v>4020.646240234375</v>
      </c>
      <c r="G119" s="146">
        <v>4061.712890625</v>
      </c>
      <c r="H119" s="146">
        <v>8082.359375</v>
      </c>
      <c r="I119" s="146">
        <v>1081.0457763671875</v>
      </c>
      <c r="J119" s="146">
        <v>1867.745849609375</v>
      </c>
      <c r="K119" s="146">
        <v>1322.2508544921875</v>
      </c>
      <c r="L119" s="146">
        <v>3189.996826171875</v>
      </c>
      <c r="M119" s="146">
        <v>101554.515625</v>
      </c>
      <c r="N119" s="146">
        <v>120872.5546875</v>
      </c>
      <c r="O119" s="146">
        <v>85401.7421875</v>
      </c>
      <c r="P119" s="146">
        <v>206274.28125</v>
      </c>
      <c r="Q119" s="146">
        <v>2324.026611328125</v>
      </c>
      <c r="R119" s="146">
        <v>3439.263671875</v>
      </c>
      <c r="S119" s="146">
        <v>2304.76806640625</v>
      </c>
      <c r="T119" s="146">
        <v>5744.03271484375</v>
      </c>
      <c r="U119" s="146">
        <v>208642.09375</v>
      </c>
      <c r="V119" s="146">
        <v>195671.984375</v>
      </c>
      <c r="W119" s="146">
        <v>132270.8125</v>
      </c>
      <c r="X119" s="146">
        <v>327942.875</v>
      </c>
      <c r="Y119" s="146">
        <v>111.36283874511719</v>
      </c>
      <c r="Z119" s="146">
        <v>11322.990234375</v>
      </c>
      <c r="AA119">
        <v>3.3231990337371826</v>
      </c>
      <c r="AB119">
        <v>3.4856977462768555</v>
      </c>
      <c r="AC119">
        <v>2.6597366333007813</v>
      </c>
      <c r="AD119">
        <v>6.1454348564147949</v>
      </c>
      <c r="AE119">
        <v>1177.710693359375</v>
      </c>
      <c r="AF119">
        <v>4190.81689453125</v>
      </c>
      <c r="AG119">
        <v>5495.0771484375</v>
      </c>
      <c r="AH119">
        <v>9685.892578125</v>
      </c>
    </row>
    <row r="120" spans="1:34">
      <c r="A120" s="146" t="s">
        <v>347</v>
      </c>
      <c r="B120" s="146" t="s">
        <v>193</v>
      </c>
      <c r="C120" s="146">
        <v>6.2789999999999999</v>
      </c>
      <c r="D120" s="146">
        <v>5.9610000000000003</v>
      </c>
      <c r="E120" s="146">
        <v>12.239999771118164</v>
      </c>
      <c r="F120" s="146">
        <v>52.285999298095703</v>
      </c>
      <c r="G120" s="146">
        <v>52.21099853515625</v>
      </c>
      <c r="H120" s="146">
        <v>104.49699401855469</v>
      </c>
      <c r="I120" s="146">
        <v>1.6334530115127563</v>
      </c>
      <c r="J120" s="146">
        <v>1.6299971342086792</v>
      </c>
      <c r="K120" s="146">
        <v>2.3783109188079834</v>
      </c>
      <c r="L120" s="146">
        <v>4.0083088874816895</v>
      </c>
      <c r="M120" s="146">
        <v>182.01736450195313</v>
      </c>
      <c r="N120" s="146">
        <v>217.38348388671875</v>
      </c>
      <c r="O120" s="146">
        <v>204.81057739257813</v>
      </c>
      <c r="P120" s="146">
        <v>422.19406127929688</v>
      </c>
      <c r="Q120" s="146">
        <v>4.8376240730285645</v>
      </c>
      <c r="R120" s="146">
        <v>16.958086013793945</v>
      </c>
      <c r="S120" s="146">
        <v>13.8951416015625</v>
      </c>
      <c r="T120" s="146">
        <v>30.853225708007813</v>
      </c>
      <c r="U120" s="146">
        <v>450.29849243164063</v>
      </c>
      <c r="V120" s="146">
        <v>594.61328125</v>
      </c>
      <c r="W120" s="146">
        <v>532.8333740234375</v>
      </c>
      <c r="X120" s="146">
        <v>1127.44677734375</v>
      </c>
      <c r="Y120" s="146">
        <v>0.22046738862991333</v>
      </c>
      <c r="Z120" s="146">
        <v>29.562150955200195</v>
      </c>
      <c r="AA120">
        <v>4.352616670075804E-4</v>
      </c>
      <c r="AB120">
        <v>1.556962844915688E-3</v>
      </c>
      <c r="AC120">
        <v>2.0065719727426767E-3</v>
      </c>
      <c r="AD120">
        <v>3.5635342355817556E-3</v>
      </c>
      <c r="AE120">
        <v>0.67179709672927856</v>
      </c>
      <c r="AF120">
        <v>3.0973973274230957</v>
      </c>
      <c r="AG120">
        <v>10.193466186523438</v>
      </c>
      <c r="AH120">
        <v>13.290863990783691</v>
      </c>
    </row>
    <row r="121" spans="1:34">
      <c r="A121" s="146" t="s">
        <v>348</v>
      </c>
      <c r="B121" s="146" t="s">
        <v>194</v>
      </c>
      <c r="C121" s="146">
        <v>523.03599999999994</v>
      </c>
      <c r="D121" s="146">
        <v>496.22300000000001</v>
      </c>
      <c r="E121" s="146">
        <v>1019.2589721679688</v>
      </c>
      <c r="F121" s="146">
        <v>5797.97998046875</v>
      </c>
      <c r="G121" s="146">
        <v>5896.740234375</v>
      </c>
      <c r="H121" s="146">
        <v>11694.720703125</v>
      </c>
      <c r="I121" s="146">
        <v>52.223155975341797</v>
      </c>
      <c r="J121" s="146">
        <v>94.499549865722656</v>
      </c>
      <c r="K121" s="146">
        <v>89.582038879394531</v>
      </c>
      <c r="L121" s="146">
        <v>184.08155822753906</v>
      </c>
      <c r="M121" s="146">
        <v>7947.33544921875</v>
      </c>
      <c r="N121" s="146">
        <v>14103.244140625</v>
      </c>
      <c r="O121" s="146">
        <v>13470.7255859375</v>
      </c>
      <c r="P121" s="146">
        <v>27573.970703125</v>
      </c>
      <c r="Q121" s="146">
        <v>219.44256591796875</v>
      </c>
      <c r="R121" s="146">
        <v>1012.2193603515625</v>
      </c>
      <c r="S121" s="146">
        <v>900.510498046875</v>
      </c>
      <c r="T121" s="146">
        <v>1912.7301025390625</v>
      </c>
      <c r="U121" s="146">
        <v>21268.525390625</v>
      </c>
      <c r="V121" s="146">
        <v>35120.51953125</v>
      </c>
      <c r="W121" s="146">
        <v>30080.126953125</v>
      </c>
      <c r="X121" s="146">
        <v>65200.63671875</v>
      </c>
      <c r="Y121" s="146">
        <v>3.4807674884796143</v>
      </c>
      <c r="Z121" s="146">
        <v>1327.537353515625</v>
      </c>
      <c r="AA121">
        <v>0.12823787331581116</v>
      </c>
      <c r="AB121">
        <v>0.26611515879631042</v>
      </c>
      <c r="AC121">
        <v>0.24093464016914368</v>
      </c>
      <c r="AD121">
        <v>0.50704967975616455</v>
      </c>
      <c r="AE121">
        <v>17.040779113769531</v>
      </c>
      <c r="AF121">
        <v>40.505180358886719</v>
      </c>
      <c r="AG121">
        <v>72.428787231445313</v>
      </c>
      <c r="AH121">
        <v>112.9339599609375</v>
      </c>
    </row>
    <row r="122" spans="1:34">
      <c r="A122" t="s">
        <v>415</v>
      </c>
      <c r="B122" s="146" t="s">
        <v>195</v>
      </c>
      <c r="C122" s="146">
        <v>3405.1619999999998</v>
      </c>
      <c r="D122" s="146">
        <v>3252.76</v>
      </c>
      <c r="E122" s="146">
        <v>6657.921875</v>
      </c>
      <c r="F122" s="146">
        <v>41173.7109375</v>
      </c>
      <c r="G122" s="146">
        <v>42255.8984375</v>
      </c>
      <c r="H122" s="146">
        <v>83429.609375</v>
      </c>
      <c r="I122" s="146">
        <v>128.25096130371094</v>
      </c>
      <c r="J122" s="146">
        <v>334.96279907226563</v>
      </c>
      <c r="K122" s="146">
        <v>405.73974609375</v>
      </c>
      <c r="L122" s="146">
        <v>740.70257568359375</v>
      </c>
      <c r="M122" s="146">
        <v>35207.75</v>
      </c>
      <c r="N122" s="146">
        <v>90173.5078125</v>
      </c>
      <c r="O122" s="146">
        <v>88449.328125</v>
      </c>
      <c r="P122" s="146">
        <v>178622.828125</v>
      </c>
      <c r="Q122" s="146">
        <v>443.87176513671875</v>
      </c>
      <c r="R122" s="146">
        <v>6022.6171875</v>
      </c>
      <c r="S122" s="146">
        <v>6830.5458984375</v>
      </c>
      <c r="T122" s="146">
        <v>12853.1630859375</v>
      </c>
      <c r="U122" s="146">
        <v>52418.75390625</v>
      </c>
      <c r="V122" s="146">
        <v>191091.8125</v>
      </c>
      <c r="W122" s="146">
        <v>176937.515625</v>
      </c>
      <c r="X122" s="146">
        <v>368029.3125</v>
      </c>
      <c r="Y122" s="146">
        <v>34.172084808349609</v>
      </c>
      <c r="Z122" s="146">
        <v>6959.4091796875</v>
      </c>
      <c r="AA122">
        <v>0.23034767806529999</v>
      </c>
      <c r="AB122">
        <v>0.61970114707946777</v>
      </c>
      <c r="AC122">
        <v>0.59358620643615723</v>
      </c>
      <c r="AD122">
        <v>1.213287353515625</v>
      </c>
      <c r="AE122">
        <v>52.935539245605469</v>
      </c>
      <c r="AF122">
        <v>211.72978210449219</v>
      </c>
      <c r="AG122">
        <v>1011.6724853515625</v>
      </c>
      <c r="AH122">
        <v>1223.4027099609375</v>
      </c>
    </row>
    <row r="123" spans="1:34">
      <c r="A123" s="146" t="s">
        <v>345</v>
      </c>
      <c r="B123" s="146" t="s">
        <v>191</v>
      </c>
      <c r="C123" s="146">
        <v>342.899</v>
      </c>
      <c r="D123" s="146">
        <v>332.71199999999999</v>
      </c>
      <c r="E123" s="146">
        <v>675.61102294921875</v>
      </c>
      <c r="F123" s="146">
        <v>2925.6875</v>
      </c>
      <c r="G123" s="146">
        <v>3016.40625</v>
      </c>
      <c r="H123" s="146">
        <v>5942.09375</v>
      </c>
      <c r="I123" s="146">
        <v>335.83334350585938</v>
      </c>
      <c r="J123" s="146">
        <v>201.81814575195313</v>
      </c>
      <c r="K123" s="146">
        <v>148.46092224121094</v>
      </c>
      <c r="L123" s="146">
        <v>350.27896118164063</v>
      </c>
      <c r="M123" s="146">
        <v>30823.02734375</v>
      </c>
      <c r="N123" s="146">
        <v>21082.3203125</v>
      </c>
      <c r="O123" s="146">
        <v>16734.240234375</v>
      </c>
      <c r="P123" s="146">
        <v>37816.56640625</v>
      </c>
      <c r="Q123" s="146">
        <v>824.4715576171875</v>
      </c>
      <c r="R123" s="146">
        <v>676.8831787109375</v>
      </c>
      <c r="S123" s="146">
        <v>484.844970703125</v>
      </c>
      <c r="T123" s="146">
        <v>1161.72802734375</v>
      </c>
      <c r="U123" s="146">
        <v>74113.5234375</v>
      </c>
      <c r="V123" s="146">
        <v>53766.03125</v>
      </c>
      <c r="W123" s="146">
        <v>39218.6015625</v>
      </c>
      <c r="X123" s="146">
        <v>92984.609375</v>
      </c>
      <c r="Y123" s="146">
        <v>4.1181507110595703</v>
      </c>
      <c r="Z123" s="146">
        <v>1146.935791015625</v>
      </c>
      <c r="AA123">
        <v>0.20117662847042084</v>
      </c>
      <c r="AB123">
        <v>0.15572413802146912</v>
      </c>
      <c r="AC123">
        <v>0.1183677613735199</v>
      </c>
      <c r="AD123">
        <v>0.27409189939498901</v>
      </c>
      <c r="AE123">
        <v>30.123628616333008</v>
      </c>
      <c r="AF123">
        <v>58.576194763183594</v>
      </c>
      <c r="AG123">
        <v>259.41900634765625</v>
      </c>
      <c r="AH123">
        <v>317.99520874023438</v>
      </c>
    </row>
    <row r="124" spans="1:34">
      <c r="A124" s="146" t="s">
        <v>350</v>
      </c>
      <c r="B124" s="146" t="s">
        <v>197</v>
      </c>
      <c r="C124" s="146">
        <v>3882.5920000000001</v>
      </c>
      <c r="D124" s="146">
        <v>3802.9270000000001</v>
      </c>
      <c r="E124" s="146">
        <v>7685.51904296875</v>
      </c>
      <c r="F124" s="146">
        <v>21807.169921875</v>
      </c>
      <c r="G124" s="146">
        <v>22462.423828125</v>
      </c>
      <c r="H124" s="146">
        <v>44269.59375</v>
      </c>
      <c r="I124" s="146">
        <v>4485.3916015625</v>
      </c>
      <c r="J124" s="146">
        <v>7048.724609375</v>
      </c>
      <c r="K124" s="146">
        <v>5054.58984375</v>
      </c>
      <c r="L124" s="146">
        <v>12103.31640625</v>
      </c>
      <c r="M124" s="146">
        <v>426834.15625</v>
      </c>
      <c r="N124" s="146">
        <v>503084.8125</v>
      </c>
      <c r="O124" s="146">
        <v>360744.9375</v>
      </c>
      <c r="P124" s="146">
        <v>863829.6875</v>
      </c>
      <c r="Q124" s="146">
        <v>9566.4287109375</v>
      </c>
      <c r="R124" s="146">
        <v>10504.6298828125</v>
      </c>
      <c r="S124" s="146">
        <v>8514.94140625</v>
      </c>
      <c r="T124" s="146">
        <v>19019.5703125</v>
      </c>
      <c r="U124" s="146">
        <v>864579.1875</v>
      </c>
      <c r="V124" s="146">
        <v>714591.0625</v>
      </c>
      <c r="W124" s="146">
        <v>549363.6875</v>
      </c>
      <c r="X124" s="146">
        <v>1263954.875</v>
      </c>
      <c r="Y124" s="146">
        <v>1928.5926513671875</v>
      </c>
      <c r="Z124" s="146">
        <v>174722.0625</v>
      </c>
      <c r="AA124">
        <v>8.164423942565918</v>
      </c>
      <c r="AB124">
        <v>9.6998395919799805</v>
      </c>
      <c r="AC124">
        <v>6.2048697471618652</v>
      </c>
      <c r="AD124">
        <v>15.90471076965332</v>
      </c>
      <c r="AE124">
        <v>3646.130615234375</v>
      </c>
      <c r="AF124">
        <v>12599.6669921875</v>
      </c>
      <c r="AG124">
        <v>15183.046875</v>
      </c>
      <c r="AH124">
        <v>27782.7109375</v>
      </c>
    </row>
    <row r="125" spans="1:34">
      <c r="A125" s="146" t="s">
        <v>351</v>
      </c>
      <c r="B125" s="146" t="s">
        <v>198</v>
      </c>
      <c r="C125" s="146">
        <v>1123.8689999999999</v>
      </c>
      <c r="D125" s="146">
        <v>1060.076</v>
      </c>
      <c r="E125" s="146">
        <v>2183.945068359375</v>
      </c>
      <c r="F125" s="146">
        <v>20379.01953125</v>
      </c>
      <c r="G125" s="146">
        <v>23614.619140625</v>
      </c>
      <c r="H125" s="146">
        <v>43993.640625</v>
      </c>
      <c r="I125" s="146">
        <v>128.66148376464844</v>
      </c>
      <c r="J125" s="146">
        <v>96.09478759765625</v>
      </c>
      <c r="K125" s="146">
        <v>92.801544189453125</v>
      </c>
      <c r="L125" s="146">
        <v>188.89633178710938</v>
      </c>
      <c r="M125" s="146">
        <v>15575.806640625</v>
      </c>
      <c r="N125" s="146">
        <v>33881.78515625</v>
      </c>
      <c r="O125" s="146">
        <v>36939.39453125</v>
      </c>
      <c r="P125" s="146">
        <v>70821.1796875</v>
      </c>
      <c r="Q125" s="146">
        <v>251.27317810058594</v>
      </c>
      <c r="R125" s="146">
        <v>4586.71435546875</v>
      </c>
      <c r="S125" s="146">
        <v>2261.28125</v>
      </c>
      <c r="T125" s="146">
        <v>6847.99462890625</v>
      </c>
      <c r="U125" s="146">
        <v>25292.6875</v>
      </c>
      <c r="V125" s="146">
        <v>196090.484375</v>
      </c>
      <c r="W125" s="146">
        <v>79344.390625</v>
      </c>
      <c r="X125" s="146">
        <v>275434.875</v>
      </c>
      <c r="Y125" s="146">
        <v>8.0873289108276367</v>
      </c>
      <c r="Z125" s="146">
        <v>4645.25927734375</v>
      </c>
      <c r="AA125">
        <v>0</v>
      </c>
      <c r="AB125">
        <v>0</v>
      </c>
      <c r="AC125">
        <v>0</v>
      </c>
      <c r="AD125">
        <v>0</v>
      </c>
      <c r="AE125">
        <v>0</v>
      </c>
      <c r="AF125">
        <v>0</v>
      </c>
      <c r="AG125">
        <v>0</v>
      </c>
      <c r="AH125">
        <v>0</v>
      </c>
    </row>
    <row r="126" spans="1:34">
      <c r="A126" s="146" t="s">
        <v>349</v>
      </c>
      <c r="B126" s="146" t="s">
        <v>196</v>
      </c>
      <c r="C126" s="146">
        <v>4818.7340000000004</v>
      </c>
      <c r="D126" s="146">
        <v>4709.4170000000004</v>
      </c>
      <c r="E126" s="146">
        <v>9528.1513671875</v>
      </c>
      <c r="F126" s="146">
        <v>28980.619140625</v>
      </c>
      <c r="G126" s="146">
        <v>29024.84375</v>
      </c>
      <c r="H126" s="146">
        <v>58005.4609375</v>
      </c>
      <c r="I126" s="146">
        <v>7331.6435546875</v>
      </c>
      <c r="J126" s="146">
        <v>9500.1787109375</v>
      </c>
      <c r="K126" s="146">
        <v>8086.55126953125</v>
      </c>
      <c r="L126" s="146">
        <v>17586.732421875</v>
      </c>
      <c r="M126" s="146">
        <v>672706.125</v>
      </c>
      <c r="N126" s="146">
        <v>651983.125</v>
      </c>
      <c r="O126" s="146">
        <v>534981</v>
      </c>
      <c r="P126" s="146">
        <v>1186963.875</v>
      </c>
      <c r="Q126" s="146">
        <v>14644.580078125</v>
      </c>
      <c r="R126" s="146">
        <v>13949.3994140625</v>
      </c>
      <c r="S126" s="146">
        <v>12394.125</v>
      </c>
      <c r="T126" s="146">
        <v>26343.5234375</v>
      </c>
      <c r="U126" s="146">
        <v>1318749.25</v>
      </c>
      <c r="V126" s="146">
        <v>958587.8125</v>
      </c>
      <c r="W126" s="146">
        <v>791994.6875</v>
      </c>
      <c r="X126" s="146">
        <v>1750582.25</v>
      </c>
      <c r="Y126" s="146">
        <v>3865.9873046875</v>
      </c>
      <c r="Z126" s="146">
        <v>348441.4375</v>
      </c>
      <c r="AA126">
        <v>42.345809936523438</v>
      </c>
      <c r="AB126">
        <v>30.555929183959961</v>
      </c>
      <c r="AC126">
        <v>25.140325546264648</v>
      </c>
      <c r="AD126">
        <v>55.696243286132813</v>
      </c>
      <c r="AE126">
        <v>8434.6865234375</v>
      </c>
      <c r="AF126">
        <v>25296.326171875</v>
      </c>
      <c r="AG126">
        <v>34433.09765625</v>
      </c>
      <c r="AH126">
        <v>59729.42578125</v>
      </c>
    </row>
    <row r="127" spans="1:34">
      <c r="A127" s="146" t="s">
        <v>352</v>
      </c>
      <c r="B127" s="146" t="s">
        <v>199</v>
      </c>
      <c r="C127" s="146">
        <v>1767.4380000000001</v>
      </c>
      <c r="D127" s="146">
        <v>1667.1980000000001</v>
      </c>
      <c r="E127" s="146">
        <v>3434.635986328125</v>
      </c>
      <c r="F127" s="146">
        <v>16450.1171875</v>
      </c>
      <c r="G127" s="146">
        <v>16531.6015625</v>
      </c>
      <c r="H127" s="146">
        <v>32981.71875</v>
      </c>
      <c r="I127" s="146">
        <v>560.8912353515625</v>
      </c>
      <c r="J127" s="146">
        <v>349.06936645507813</v>
      </c>
      <c r="K127" s="146">
        <v>249.96128845214844</v>
      </c>
      <c r="L127" s="146">
        <v>599.03076171875</v>
      </c>
      <c r="M127" s="146">
        <v>55073.13671875</v>
      </c>
      <c r="N127" s="146">
        <v>51421.37890625</v>
      </c>
      <c r="O127" s="146">
        <v>42915.65625</v>
      </c>
      <c r="P127" s="146">
        <v>94337.046875</v>
      </c>
      <c r="Q127" s="146">
        <v>1482.5067138671875</v>
      </c>
      <c r="R127" s="146">
        <v>2770.96044921875</v>
      </c>
      <c r="S127" s="146">
        <v>2078.663330078125</v>
      </c>
      <c r="T127" s="146">
        <v>4849.6240234375</v>
      </c>
      <c r="U127" s="146">
        <v>135422.484375</v>
      </c>
      <c r="V127" s="146">
        <v>172760.921875</v>
      </c>
      <c r="W127" s="146">
        <v>129483.9921875</v>
      </c>
      <c r="X127" s="146">
        <v>302244.96875</v>
      </c>
      <c r="Y127" s="146">
        <v>9.3896198272705078</v>
      </c>
      <c r="Z127" s="146">
        <v>9972.4033203125</v>
      </c>
      <c r="AA127">
        <v>0.31887999176979065</v>
      </c>
      <c r="AB127">
        <v>0.33789867162704468</v>
      </c>
      <c r="AC127">
        <v>0.24548102915287018</v>
      </c>
      <c r="AD127">
        <v>0.58337974548339844</v>
      </c>
      <c r="AE127">
        <v>63.341842651367188</v>
      </c>
      <c r="AF127">
        <v>140.79977416992188</v>
      </c>
      <c r="AG127">
        <v>1136.883544921875</v>
      </c>
      <c r="AH127">
        <v>1277.6832275390625</v>
      </c>
    </row>
    <row r="128" spans="1:34">
      <c r="A128" s="146" t="s">
        <v>355</v>
      </c>
      <c r="B128" s="146" t="s">
        <v>203</v>
      </c>
      <c r="C128" s="146">
        <v>21.315999999999999</v>
      </c>
      <c r="D128" s="146">
        <v>20.045999999999999</v>
      </c>
      <c r="E128" s="146">
        <v>41.36199951171875</v>
      </c>
      <c r="F128" s="146">
        <v>152.03799438476563</v>
      </c>
      <c r="G128" s="146">
        <v>147.84400939941406</v>
      </c>
      <c r="H128" s="146">
        <v>299.88201904296875</v>
      </c>
      <c r="I128" s="146">
        <v>22.00358772277832</v>
      </c>
      <c r="J128" s="146">
        <v>38.925441741943359</v>
      </c>
      <c r="K128" s="146">
        <v>40.966663360595703</v>
      </c>
      <c r="L128" s="146">
        <v>79.892105102539063</v>
      </c>
      <c r="M128" s="146">
        <v>2142.16357421875</v>
      </c>
      <c r="N128" s="146">
        <v>2341.327392578125</v>
      </c>
      <c r="O128" s="146">
        <v>2050.897216796875</v>
      </c>
      <c r="P128" s="146">
        <v>4392.22412109375</v>
      </c>
      <c r="Q128" s="146">
        <v>40.556510925292969</v>
      </c>
      <c r="R128" s="146">
        <v>71.25537109375</v>
      </c>
      <c r="S128" s="146">
        <v>53.110198974609375</v>
      </c>
      <c r="T128" s="146">
        <v>124.36556243896484</v>
      </c>
      <c r="U128" s="146">
        <v>3682.06494140625</v>
      </c>
      <c r="V128" s="146">
        <v>3960.68798828125</v>
      </c>
      <c r="W128" s="146">
        <v>3009.75537109375</v>
      </c>
      <c r="X128" s="146">
        <v>6970.4443359375</v>
      </c>
      <c r="Y128" s="146">
        <v>2.8437931537628174</v>
      </c>
      <c r="Z128" s="146">
        <v>287.3702392578125</v>
      </c>
      <c r="AA128">
        <v>1.243846770375967E-2</v>
      </c>
      <c r="AB128">
        <v>4.6991031616926193E-2</v>
      </c>
      <c r="AC128">
        <v>3.536604717373848E-2</v>
      </c>
      <c r="AD128">
        <v>8.235708624124527E-2</v>
      </c>
      <c r="AE128">
        <v>19.949590682983398</v>
      </c>
      <c r="AF128">
        <v>86.909149169921875</v>
      </c>
      <c r="AG128">
        <v>179.26802062988281</v>
      </c>
      <c r="AH128">
        <v>266.17715454101563</v>
      </c>
    </row>
    <row r="129" spans="1:34">
      <c r="A129" s="146" t="s">
        <v>416</v>
      </c>
      <c r="B129" s="146" t="s">
        <v>201</v>
      </c>
      <c r="C129" s="146">
        <v>1231.1579999999999</v>
      </c>
      <c r="D129" s="146">
        <v>1187.9559999999999</v>
      </c>
      <c r="E129" s="146">
        <v>2419.114013671875</v>
      </c>
      <c r="F129" s="146">
        <v>14045.228515625</v>
      </c>
      <c r="G129" s="146">
        <v>14470.6005859375</v>
      </c>
      <c r="H129" s="146">
        <v>28515.828125</v>
      </c>
      <c r="I129" s="146">
        <v>558.80499267578125</v>
      </c>
      <c r="J129" s="146">
        <v>667.95904541015625</v>
      </c>
      <c r="K129" s="146">
        <v>691.09002685546875</v>
      </c>
      <c r="L129" s="146">
        <v>1359.0491943359375</v>
      </c>
      <c r="M129" s="146">
        <v>56124.10546875</v>
      </c>
      <c r="N129" s="146">
        <v>56352.21484375</v>
      </c>
      <c r="O129" s="146">
        <v>48797.015625</v>
      </c>
      <c r="P129" s="146">
        <v>105149.2265625</v>
      </c>
      <c r="Q129" s="146">
        <v>1348.59716796875</v>
      </c>
      <c r="R129" s="146">
        <v>3821.455078125</v>
      </c>
      <c r="S129" s="146">
        <v>3369.353515625</v>
      </c>
      <c r="T129" s="146">
        <v>7190.80810546875</v>
      </c>
      <c r="U129" s="146">
        <v>124740.2734375</v>
      </c>
      <c r="V129" s="146">
        <v>143321.65625</v>
      </c>
      <c r="W129" s="146">
        <v>112416.6640625</v>
      </c>
      <c r="X129" s="146">
        <v>255738.265625</v>
      </c>
      <c r="Y129" s="146">
        <v>239.06280517578125</v>
      </c>
      <c r="Z129" s="146">
        <v>22285.51171875</v>
      </c>
      <c r="AA129">
        <v>1.6983860731124878</v>
      </c>
      <c r="AB129">
        <v>2.950761079788208</v>
      </c>
      <c r="AC129">
        <v>1.9147220849990845</v>
      </c>
      <c r="AD129">
        <v>4.8654828071594238</v>
      </c>
      <c r="AE129">
        <v>1042.5968017578125</v>
      </c>
      <c r="AF129">
        <v>5770.6103515625</v>
      </c>
      <c r="AG129">
        <v>6388.8984375</v>
      </c>
      <c r="AH129">
        <v>12159.5146484375</v>
      </c>
    </row>
    <row r="130" spans="1:34">
      <c r="A130" s="146" t="s">
        <v>354</v>
      </c>
      <c r="B130" s="146" t="s">
        <v>202</v>
      </c>
      <c r="C130" s="146">
        <v>4166.5959999999995</v>
      </c>
      <c r="D130" s="146">
        <v>3724.36</v>
      </c>
      <c r="E130" s="146">
        <v>7890.9560546875</v>
      </c>
      <c r="F130" s="146">
        <v>48151.3515625</v>
      </c>
      <c r="G130" s="146">
        <v>48310.74609375</v>
      </c>
      <c r="H130" s="146">
        <v>96462.09375</v>
      </c>
      <c r="I130" s="146">
        <v>1524.5279541015625</v>
      </c>
      <c r="J130" s="146">
        <v>2458.0849609375</v>
      </c>
      <c r="K130" s="146">
        <v>1931.5072021484375</v>
      </c>
      <c r="L130" s="146">
        <v>4389.591796875</v>
      </c>
      <c r="M130" s="146">
        <v>154471.25</v>
      </c>
      <c r="N130" s="146">
        <v>188510.015625</v>
      </c>
      <c r="O130" s="146">
        <v>120134.6640625</v>
      </c>
      <c r="P130" s="146">
        <v>308644.65625</v>
      </c>
      <c r="Q130" s="146">
        <v>3769.45361328125</v>
      </c>
      <c r="R130" s="146">
        <v>14655.158203125</v>
      </c>
      <c r="S130" s="146">
        <v>13215.5732421875</v>
      </c>
      <c r="T130" s="146">
        <v>27870.732421875</v>
      </c>
      <c r="U130" s="146">
        <v>348741.625</v>
      </c>
      <c r="V130" s="146">
        <v>506476.9375</v>
      </c>
      <c r="W130" s="146">
        <v>320759.84375</v>
      </c>
      <c r="X130" s="146">
        <v>827236.8125</v>
      </c>
      <c r="Y130" s="146">
        <v>11.55628490447998</v>
      </c>
      <c r="Z130" s="146">
        <v>17913.638671875</v>
      </c>
      <c r="AA130">
        <v>1.7473891973495483</v>
      </c>
      <c r="AB130">
        <v>5.2214336395263672</v>
      </c>
      <c r="AC130">
        <v>3.7076840400695801</v>
      </c>
      <c r="AD130">
        <v>8.9291191101074219</v>
      </c>
      <c r="AE130">
        <v>2839.62890625</v>
      </c>
      <c r="AF130">
        <v>20990.078125</v>
      </c>
      <c r="AG130">
        <v>22356.775390625</v>
      </c>
      <c r="AH130">
        <v>43346.84765625</v>
      </c>
    </row>
    <row r="131" spans="1:34">
      <c r="A131" s="146" t="s">
        <v>357</v>
      </c>
      <c r="B131" s="146" t="s">
        <v>205</v>
      </c>
      <c r="C131" s="146">
        <v>2091.393</v>
      </c>
      <c r="D131" s="146">
        <v>2007.318</v>
      </c>
      <c r="E131" s="146">
        <v>4098.7109375</v>
      </c>
      <c r="F131" s="146">
        <v>14692.283203125</v>
      </c>
      <c r="G131" s="146">
        <v>14469.6396484375</v>
      </c>
      <c r="H131" s="146">
        <v>29161.921875</v>
      </c>
      <c r="I131" s="146">
        <v>3449.171630859375</v>
      </c>
      <c r="J131" s="146">
        <v>2383.235595703125</v>
      </c>
      <c r="K131" s="146">
        <v>1988.5240478515625</v>
      </c>
      <c r="L131" s="146">
        <v>4371.75927734375</v>
      </c>
      <c r="M131" s="146">
        <v>328858.46875</v>
      </c>
      <c r="N131" s="146">
        <v>229787.65625</v>
      </c>
      <c r="O131" s="146">
        <v>196195.8125</v>
      </c>
      <c r="P131" s="146">
        <v>425983.46875</v>
      </c>
      <c r="Q131" s="146">
        <v>8557.8896484375</v>
      </c>
      <c r="R131" s="146">
        <v>6468.50537109375</v>
      </c>
      <c r="S131" s="146">
        <v>5514.806640625</v>
      </c>
      <c r="T131" s="146">
        <v>11983.3115234375</v>
      </c>
      <c r="U131" s="146">
        <v>769369.125</v>
      </c>
      <c r="V131" s="146">
        <v>506276.8125</v>
      </c>
      <c r="W131" s="146">
        <v>427045.59375</v>
      </c>
      <c r="X131" s="146">
        <v>933322.4375</v>
      </c>
      <c r="Y131" s="146">
        <v>616.13421630859375</v>
      </c>
      <c r="Z131" s="146">
        <v>70586.859375</v>
      </c>
      <c r="AA131">
        <v>7.2428154945373535</v>
      </c>
      <c r="AB131">
        <v>9.7257823944091797</v>
      </c>
      <c r="AC131">
        <v>7.2522802352905273</v>
      </c>
      <c r="AD131">
        <v>16.978059768676758</v>
      </c>
      <c r="AE131">
        <v>1504.80224609375</v>
      </c>
      <c r="AF131">
        <v>3105.2568359375</v>
      </c>
      <c r="AG131">
        <v>10389.8251953125</v>
      </c>
      <c r="AH131">
        <v>13495.0830078125</v>
      </c>
    </row>
    <row r="132" spans="1:34">
      <c r="A132" s="146" t="s">
        <v>359</v>
      </c>
      <c r="B132" s="146" t="s">
        <v>207</v>
      </c>
      <c r="C132" s="146">
        <v>1466.7</v>
      </c>
      <c r="D132" s="146">
        <v>1434.8030000000001</v>
      </c>
      <c r="E132" s="146">
        <v>2901.5029296875</v>
      </c>
      <c r="F132" s="146">
        <v>8843.212890625</v>
      </c>
      <c r="G132" s="146">
        <v>9017.8203125</v>
      </c>
      <c r="H132" s="146">
        <v>17861.033203125</v>
      </c>
      <c r="I132" s="146">
        <v>2773.208984375</v>
      </c>
      <c r="J132" s="146">
        <v>3443.57275390625</v>
      </c>
      <c r="K132" s="146">
        <v>2831.720703125</v>
      </c>
      <c r="L132" s="146">
        <v>6275.29248046875</v>
      </c>
      <c r="M132" s="146">
        <v>256610.265625</v>
      </c>
      <c r="N132" s="146">
        <v>247266.046875</v>
      </c>
      <c r="O132" s="146">
        <v>194590.28125</v>
      </c>
      <c r="P132" s="146">
        <v>441856.375</v>
      </c>
      <c r="Q132" s="146">
        <v>5381.54443359375</v>
      </c>
      <c r="R132" s="146">
        <v>5389.263671875</v>
      </c>
      <c r="S132" s="146">
        <v>4200.26904296875</v>
      </c>
      <c r="T132" s="146">
        <v>9589.533203125</v>
      </c>
      <c r="U132" s="146">
        <v>483621.15625</v>
      </c>
      <c r="V132" s="146">
        <v>369994.5625</v>
      </c>
      <c r="W132" s="146">
        <v>279181.53125</v>
      </c>
      <c r="X132" s="146">
        <v>649176.0625</v>
      </c>
      <c r="Y132" s="146">
        <v>1527.7486572265625</v>
      </c>
      <c r="Z132" s="146">
        <v>138220.09375</v>
      </c>
      <c r="AA132">
        <v>6.2208442687988281</v>
      </c>
      <c r="AB132">
        <v>5.2178821563720703</v>
      </c>
      <c r="AC132">
        <v>3.3779354095458984</v>
      </c>
      <c r="AD132">
        <v>8.5958175659179688</v>
      </c>
      <c r="AE132">
        <v>1417.2529296875</v>
      </c>
      <c r="AF132">
        <v>4681.6572265625</v>
      </c>
      <c r="AG132">
        <v>6400.76611328125</v>
      </c>
      <c r="AH132">
        <v>11082.4208984375</v>
      </c>
    </row>
    <row r="133" spans="1:34">
      <c r="A133" s="146" t="s">
        <v>360</v>
      </c>
      <c r="B133" s="146" t="s">
        <v>208</v>
      </c>
      <c r="C133" s="146">
        <v>1074.6210000000001</v>
      </c>
      <c r="D133" s="146">
        <v>1063.3989999999999</v>
      </c>
      <c r="E133" s="146">
        <v>2138.02001953125</v>
      </c>
      <c r="F133" s="146">
        <v>6983.35302734375</v>
      </c>
      <c r="G133" s="146">
        <v>7662.1201171875</v>
      </c>
      <c r="H133" s="146">
        <v>14645.47265625</v>
      </c>
      <c r="I133" s="146">
        <v>1362.3035888671875</v>
      </c>
      <c r="J133" s="146">
        <v>2916.52978515625</v>
      </c>
      <c r="K133" s="146">
        <v>1678.0748291015625</v>
      </c>
      <c r="L133" s="146">
        <v>4594.60400390625</v>
      </c>
      <c r="M133" s="146">
        <v>128636.546875</v>
      </c>
      <c r="N133" s="146">
        <v>167484.078125</v>
      </c>
      <c r="O133" s="146">
        <v>106585.5390625</v>
      </c>
      <c r="P133" s="146">
        <v>274069.59375</v>
      </c>
      <c r="Q133" s="146">
        <v>2921.453125</v>
      </c>
      <c r="R133" s="146">
        <v>6022.4208984375</v>
      </c>
      <c r="S133" s="146">
        <v>4825.404296875</v>
      </c>
      <c r="T133" s="146">
        <v>10847.82421875</v>
      </c>
      <c r="U133" s="146">
        <v>263155.71875</v>
      </c>
      <c r="V133" s="146">
        <v>300518.53125</v>
      </c>
      <c r="W133" s="146">
        <v>223091.25</v>
      </c>
      <c r="X133" s="146">
        <v>523609.75</v>
      </c>
      <c r="Y133" s="146">
        <v>1192.415771484375</v>
      </c>
      <c r="Z133" s="146">
        <v>105622.0859375</v>
      </c>
      <c r="AA133">
        <v>1.1070924997329712</v>
      </c>
      <c r="AB133">
        <v>1.2007176876068115</v>
      </c>
      <c r="AC133">
        <v>1.0179497003555298</v>
      </c>
      <c r="AD133">
        <v>2.2186675071716309</v>
      </c>
      <c r="AE133">
        <v>489.7752685546875</v>
      </c>
      <c r="AF133">
        <v>2630.319091796875</v>
      </c>
      <c r="AG133">
        <v>4480.1611328125</v>
      </c>
      <c r="AH133">
        <v>7110.48046875</v>
      </c>
    </row>
  </sheetData>
  <sheetProtection algorithmName="SHA-512" hashValue="AzJibDMG1tokVtFN6Y/B6dApZiPXtm1TCQVuENpPxvcKzThshKzHHcSwwKylkTSpLbd4nus1N6zqdYaSXLoMzQ==" saltValue="iPHzJOutTYHvucvHxetXBQ==" spinCount="100000" sheet="1" objects="1" scenarios="1"/>
  <autoFilter ref="A1:AH1" xr:uid="{095C3195-2861-4292-94A9-9AC42CF0A3A8}"/>
  <sortState xmlns:xlrd2="http://schemas.microsoft.com/office/spreadsheetml/2017/richdata2" ref="A2:AH133">
    <sortCondition ref="A1:A133"/>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7B2BB-886F-462B-8D24-1748982BE466}">
  <sheetPr>
    <tabColor theme="9" tint="0.79998168889431442"/>
  </sheetPr>
  <dimension ref="A1:M184"/>
  <sheetViews>
    <sheetView zoomScale="90" zoomScaleNormal="90" workbookViewId="0">
      <selection activeCell="A18" sqref="A18"/>
    </sheetView>
  </sheetViews>
  <sheetFormatPr defaultColWidth="9.140625" defaultRowHeight="15"/>
  <cols>
    <col min="1" max="1" width="40.28515625" bestFit="1" customWidth="1"/>
    <col min="5" max="5" width="11.85546875" customWidth="1"/>
    <col min="6" max="6" width="19.7109375" customWidth="1"/>
    <col min="8" max="8" width="16.140625" customWidth="1"/>
    <col min="9" max="9" width="13.42578125" customWidth="1"/>
    <col min="10" max="10" width="12.140625" customWidth="1"/>
    <col min="11" max="11" width="11.85546875" customWidth="1"/>
  </cols>
  <sheetData>
    <row r="1" spans="1:13">
      <c r="A1" t="s">
        <v>370</v>
      </c>
      <c r="B1" t="s">
        <v>68</v>
      </c>
      <c r="C1" t="s">
        <v>371</v>
      </c>
      <c r="D1" t="s">
        <v>445</v>
      </c>
      <c r="E1" t="s">
        <v>446</v>
      </c>
      <c r="F1" s="227" t="s">
        <v>457</v>
      </c>
      <c r="H1" s="174"/>
      <c r="M1" s="174"/>
    </row>
    <row r="2" spans="1:13">
      <c r="A2" t="s">
        <v>233</v>
      </c>
      <c r="B2" t="s">
        <v>77</v>
      </c>
      <c r="C2">
        <v>2016</v>
      </c>
      <c r="D2">
        <v>8.0743514001369476E-2</v>
      </c>
      <c r="E2">
        <v>0.12194133549928665</v>
      </c>
      <c r="F2">
        <f>1-(1-D2)*(1-E2)</f>
        <v>0.19283887757042373</v>
      </c>
      <c r="H2" s="232"/>
      <c r="M2" s="232"/>
    </row>
    <row r="3" spans="1:13">
      <c r="A3" t="s">
        <v>234</v>
      </c>
      <c r="B3" t="s">
        <v>78</v>
      </c>
      <c r="C3">
        <v>2016</v>
      </c>
      <c r="D3">
        <v>8.4506839513778687E-2</v>
      </c>
      <c r="E3">
        <v>0.10405385494232178</v>
      </c>
      <c r="F3">
        <f t="shared" ref="F3:F66" si="0">1-(1-D3)*(1-E3)</f>
        <v>0.17976743203569967</v>
      </c>
      <c r="H3" s="232"/>
      <c r="I3" s="232"/>
    </row>
    <row r="4" spans="1:13">
      <c r="A4" t="s">
        <v>235</v>
      </c>
      <c r="B4" t="s">
        <v>79</v>
      </c>
      <c r="C4">
        <v>2016</v>
      </c>
      <c r="D4">
        <v>8.7525136768817902E-2</v>
      </c>
      <c r="E4">
        <v>9.0773507952690125E-2</v>
      </c>
      <c r="F4">
        <f t="shared" si="0"/>
        <v>0.17035368102296344</v>
      </c>
      <c r="H4" s="232"/>
      <c r="I4" s="232"/>
    </row>
    <row r="5" spans="1:13">
      <c r="A5" t="s">
        <v>236</v>
      </c>
      <c r="B5" t="s">
        <v>80</v>
      </c>
      <c r="C5">
        <v>2016</v>
      </c>
      <c r="D5">
        <v>7.8019089996814728E-2</v>
      </c>
      <c r="E5">
        <v>8.1085450947284698E-2</v>
      </c>
      <c r="F5">
        <f t="shared" si="0"/>
        <v>0.15277832784921097</v>
      </c>
      <c r="H5" s="232"/>
      <c r="I5" s="232"/>
    </row>
    <row r="6" spans="1:13">
      <c r="A6" t="s">
        <v>237</v>
      </c>
      <c r="B6" t="s">
        <v>81</v>
      </c>
      <c r="C6">
        <v>2016</v>
      </c>
      <c r="D6">
        <v>8.1862248480319977E-2</v>
      </c>
      <c r="E6">
        <v>8.1540018320083618E-2</v>
      </c>
      <c r="F6">
        <f t="shared" si="0"/>
        <v>0.15672721755959507</v>
      </c>
      <c r="H6" s="232"/>
      <c r="I6" s="232"/>
    </row>
    <row r="7" spans="1:13">
      <c r="A7" t="s">
        <v>238</v>
      </c>
      <c r="B7" t="s">
        <v>82</v>
      </c>
      <c r="C7">
        <v>2016</v>
      </c>
      <c r="D7">
        <v>0.10157996416091919</v>
      </c>
      <c r="E7">
        <v>0.10253006964921951</v>
      </c>
      <c r="F7">
        <f t="shared" si="0"/>
        <v>0.19369503300975444</v>
      </c>
      <c r="H7" s="232"/>
      <c r="I7" s="232"/>
    </row>
    <row r="8" spans="1:13">
      <c r="A8" t="s">
        <v>239</v>
      </c>
      <c r="B8" t="s">
        <v>83</v>
      </c>
      <c r="C8">
        <v>2016</v>
      </c>
      <c r="D8">
        <v>6.2809154391288757E-2</v>
      </c>
      <c r="E8">
        <v>0.10067155957221985</v>
      </c>
      <c r="F8">
        <f t="shared" si="0"/>
        <v>0.15715761843552523</v>
      </c>
      <c r="H8" s="232"/>
      <c r="I8" s="232"/>
    </row>
    <row r="9" spans="1:13">
      <c r="A9" t="s">
        <v>240</v>
      </c>
      <c r="B9" t="s">
        <v>84</v>
      </c>
      <c r="C9">
        <v>2016</v>
      </c>
      <c r="D9">
        <v>6.287769228219986E-2</v>
      </c>
      <c r="E9">
        <v>7.4406526982784271E-2</v>
      </c>
      <c r="F9">
        <f t="shared" si="0"/>
        <v>0.13260570855757337</v>
      </c>
      <c r="H9" s="232"/>
      <c r="I9" s="232"/>
    </row>
    <row r="10" spans="1:13">
      <c r="A10" t="s">
        <v>241</v>
      </c>
      <c r="B10" t="s">
        <v>85</v>
      </c>
      <c r="C10">
        <v>2016</v>
      </c>
      <c r="D10">
        <v>5.4369807243347168E-2</v>
      </c>
      <c r="E10">
        <v>7.6984450221061707E-2</v>
      </c>
      <c r="F10">
        <f t="shared" si="0"/>
        <v>0.12716862774515469</v>
      </c>
      <c r="H10" s="232"/>
      <c r="I10" s="232"/>
    </row>
    <row r="11" spans="1:13">
      <c r="A11" t="s">
        <v>242</v>
      </c>
      <c r="B11" t="s">
        <v>86</v>
      </c>
      <c r="C11">
        <v>2016</v>
      </c>
      <c r="D11">
        <v>2.9633335769176483E-2</v>
      </c>
      <c r="E11">
        <v>4.1977759450674057E-2</v>
      </c>
      <c r="F11">
        <f t="shared" si="0"/>
        <v>7.0367154179211022E-2</v>
      </c>
      <c r="H11" s="232"/>
      <c r="I11" s="232"/>
    </row>
    <row r="12" spans="1:13">
      <c r="A12" t="s">
        <v>243</v>
      </c>
      <c r="B12" t="s">
        <v>87</v>
      </c>
      <c r="C12">
        <v>2016</v>
      </c>
      <c r="D12">
        <v>0.10434670746326447</v>
      </c>
      <c r="E12">
        <v>0.11908569931983948</v>
      </c>
      <c r="F12">
        <f t="shared" si="0"/>
        <v>0.21100620615311838</v>
      </c>
      <c r="H12" s="232"/>
      <c r="I12" s="232"/>
    </row>
    <row r="13" spans="1:13">
      <c r="A13" t="s">
        <v>244</v>
      </c>
      <c r="B13" t="s">
        <v>88</v>
      </c>
      <c r="C13">
        <v>2016</v>
      </c>
      <c r="D13">
        <v>9.1723024845123291E-2</v>
      </c>
      <c r="E13">
        <v>9.8839364945888519E-2</v>
      </c>
      <c r="F13">
        <f t="shared" si="0"/>
        <v>0.18149654426440387</v>
      </c>
      <c r="H13" s="232"/>
      <c r="I13" s="232"/>
    </row>
    <row r="14" spans="1:13">
      <c r="A14" t="s">
        <v>245</v>
      </c>
      <c r="B14" t="s">
        <v>89</v>
      </c>
      <c r="C14">
        <v>2016</v>
      </c>
      <c r="D14">
        <v>0.10743691027164459</v>
      </c>
      <c r="E14">
        <v>0.11130870133638382</v>
      </c>
      <c r="F14">
        <f t="shared" si="0"/>
        <v>0.20678694865009806</v>
      </c>
      <c r="H14" s="232"/>
      <c r="I14" s="232"/>
    </row>
    <row r="15" spans="1:13">
      <c r="A15" t="s">
        <v>246</v>
      </c>
      <c r="B15" t="s">
        <v>90</v>
      </c>
      <c r="C15">
        <v>2016</v>
      </c>
      <c r="D15">
        <v>0.10426407307386398</v>
      </c>
      <c r="E15">
        <v>0.11581514030694962</v>
      </c>
      <c r="F15">
        <f t="shared" si="0"/>
        <v>0.20800385512878994</v>
      </c>
      <c r="H15" s="232"/>
      <c r="I15" s="232"/>
    </row>
    <row r="16" spans="1:13">
      <c r="A16" t="s">
        <v>471</v>
      </c>
      <c r="B16" t="s">
        <v>91</v>
      </c>
      <c r="C16">
        <v>2016</v>
      </c>
      <c r="D16">
        <v>0.14567671716213226</v>
      </c>
      <c r="E16">
        <v>0.12868547439575195</v>
      </c>
      <c r="F16">
        <f t="shared" si="0"/>
        <v>0.25561571410145945</v>
      </c>
      <c r="H16" s="232"/>
      <c r="I16" s="232"/>
    </row>
    <row r="17" spans="1:9">
      <c r="A17" t="s">
        <v>247</v>
      </c>
      <c r="B17" t="s">
        <v>92</v>
      </c>
      <c r="C17">
        <v>2016</v>
      </c>
      <c r="D17">
        <v>0.23779556155204773</v>
      </c>
      <c r="E17">
        <v>0.25189605355262756</v>
      </c>
      <c r="F17">
        <f t="shared" si="0"/>
        <v>0.42979185159738353</v>
      </c>
      <c r="H17" s="232"/>
      <c r="I17" s="232"/>
    </row>
    <row r="18" spans="1:9">
      <c r="A18" t="s">
        <v>248</v>
      </c>
      <c r="B18" t="s">
        <v>93</v>
      </c>
      <c r="C18">
        <v>2016</v>
      </c>
      <c r="D18">
        <v>0.15453982353210449</v>
      </c>
      <c r="E18">
        <v>0.17695827782154083</v>
      </c>
      <c r="F18">
        <f t="shared" si="0"/>
        <v>0.30415100032655928</v>
      </c>
      <c r="H18" s="232"/>
      <c r="I18" s="232"/>
    </row>
    <row r="19" spans="1:9">
      <c r="A19" t="s">
        <v>249</v>
      </c>
      <c r="B19" t="s">
        <v>94</v>
      </c>
      <c r="C19">
        <v>2016</v>
      </c>
      <c r="D19">
        <v>5.4866548627614975E-2</v>
      </c>
      <c r="E19">
        <v>5.6463055312633514E-2</v>
      </c>
      <c r="F19">
        <f t="shared" si="0"/>
        <v>0.1082316709702742</v>
      </c>
      <c r="H19" s="232"/>
      <c r="I19" s="232"/>
    </row>
    <row r="20" spans="1:9">
      <c r="A20" t="s">
        <v>250</v>
      </c>
      <c r="B20" t="s">
        <v>95</v>
      </c>
      <c r="C20">
        <v>2016</v>
      </c>
      <c r="D20">
        <v>0.10117551684379578</v>
      </c>
      <c r="E20">
        <v>0.13803590834140778</v>
      </c>
      <c r="F20">
        <f t="shared" si="0"/>
        <v>0.2252455708157588</v>
      </c>
      <c r="H20" s="232"/>
      <c r="I20" s="232"/>
    </row>
    <row r="21" spans="1:9">
      <c r="A21" t="s">
        <v>251</v>
      </c>
      <c r="B21" t="s">
        <v>96</v>
      </c>
      <c r="C21">
        <v>2016</v>
      </c>
      <c r="D21">
        <v>2.3240305483341217E-2</v>
      </c>
      <c r="E21">
        <v>2.3926084861159325E-2</v>
      </c>
      <c r="F21">
        <f t="shared" si="0"/>
        <v>4.6610340823306839E-2</v>
      </c>
      <c r="H21" s="232"/>
      <c r="I21" s="232"/>
    </row>
    <row r="22" spans="1:9">
      <c r="A22" s="315" t="s">
        <v>474</v>
      </c>
      <c r="B22" t="s">
        <v>97</v>
      </c>
      <c r="C22">
        <v>2016</v>
      </c>
      <c r="D22">
        <v>8.0825470387935638E-2</v>
      </c>
      <c r="E22">
        <v>9.7791187465190887E-2</v>
      </c>
      <c r="F22">
        <f t="shared" si="0"/>
        <v>0.17071263912645773</v>
      </c>
      <c r="H22" s="232"/>
      <c r="I22" s="232"/>
    </row>
    <row r="23" spans="1:9">
      <c r="A23" t="s">
        <v>252</v>
      </c>
      <c r="B23" t="s">
        <v>98</v>
      </c>
      <c r="C23">
        <v>2016</v>
      </c>
      <c r="D23">
        <v>8.7513983249664307E-2</v>
      </c>
      <c r="E23">
        <v>0.10734987258911133</v>
      </c>
      <c r="F23">
        <f t="shared" si="0"/>
        <v>0.18546924088715855</v>
      </c>
      <c r="H23" s="232"/>
      <c r="I23" s="232"/>
    </row>
    <row r="24" spans="1:9">
      <c r="A24" t="s">
        <v>253</v>
      </c>
      <c r="B24" t="s">
        <v>99</v>
      </c>
      <c r="C24">
        <v>2016</v>
      </c>
      <c r="D24">
        <v>8.3433270454406738E-2</v>
      </c>
      <c r="E24">
        <v>0.11357837915420532</v>
      </c>
      <c r="F24">
        <f t="shared" si="0"/>
        <v>0.1875354339828661</v>
      </c>
      <c r="H24" s="232"/>
      <c r="I24" s="232"/>
    </row>
    <row r="25" spans="1:9">
      <c r="A25" t="s">
        <v>254</v>
      </c>
      <c r="B25" t="s">
        <v>100</v>
      </c>
      <c r="C25">
        <v>2016</v>
      </c>
      <c r="D25">
        <v>9.9286392331123352E-2</v>
      </c>
      <c r="E25">
        <v>0.11802820116281509</v>
      </c>
      <c r="F25">
        <f t="shared" si="0"/>
        <v>0.20559599920715044</v>
      </c>
      <c r="H25" s="232"/>
      <c r="I25" s="232"/>
    </row>
    <row r="26" spans="1:9">
      <c r="A26" t="s">
        <v>255</v>
      </c>
      <c r="B26" t="s">
        <v>101</v>
      </c>
      <c r="C26">
        <v>2016</v>
      </c>
      <c r="D26">
        <v>8.4882833063602448E-2</v>
      </c>
      <c r="E26">
        <v>8.0392658710479736E-2</v>
      </c>
      <c r="F26">
        <f t="shared" si="0"/>
        <v>0.15845153514522137</v>
      </c>
      <c r="H26" s="232"/>
      <c r="I26" s="232"/>
    </row>
    <row r="27" spans="1:9">
      <c r="A27" t="s">
        <v>256</v>
      </c>
      <c r="B27" t="s">
        <v>102</v>
      </c>
      <c r="C27">
        <v>2016</v>
      </c>
      <c r="D27">
        <v>8.294946700334549E-2</v>
      </c>
      <c r="E27">
        <v>9.7056061029434204E-2</v>
      </c>
      <c r="F27">
        <f t="shared" si="0"/>
        <v>0.17195477950094396</v>
      </c>
      <c r="H27" s="232"/>
      <c r="I27" s="232"/>
    </row>
    <row r="28" spans="1:9">
      <c r="A28" t="s">
        <v>413</v>
      </c>
      <c r="B28" t="s">
        <v>103</v>
      </c>
      <c r="C28">
        <v>2016</v>
      </c>
      <c r="D28">
        <v>6.3672542572021484E-2</v>
      </c>
      <c r="E28">
        <v>7.3187105357646942E-2</v>
      </c>
      <c r="F28">
        <f t="shared" si="0"/>
        <v>0.13219963884806063</v>
      </c>
      <c r="H28" s="232"/>
      <c r="I28" s="232"/>
    </row>
    <row r="29" spans="1:9">
      <c r="A29" t="s">
        <v>258</v>
      </c>
      <c r="B29" t="s">
        <v>104</v>
      </c>
      <c r="C29">
        <v>2016</v>
      </c>
      <c r="D29">
        <v>0.14009961485862732</v>
      </c>
      <c r="E29">
        <v>0.13003909587860107</v>
      </c>
      <c r="F29">
        <f t="shared" si="0"/>
        <v>0.25192028348807227</v>
      </c>
      <c r="H29" s="232"/>
      <c r="I29" s="232"/>
    </row>
    <row r="30" spans="1:9">
      <c r="A30" t="s">
        <v>259</v>
      </c>
      <c r="B30" t="s">
        <v>105</v>
      </c>
      <c r="C30">
        <v>2016</v>
      </c>
      <c r="D30">
        <v>7.1815215051174164E-2</v>
      </c>
      <c r="E30">
        <v>7.472597062587738E-2</v>
      </c>
      <c r="F30">
        <f t="shared" si="0"/>
        <v>0.14117472402664644</v>
      </c>
      <c r="H30" s="232"/>
      <c r="I30" s="232"/>
    </row>
    <row r="31" spans="1:9">
      <c r="A31" t="s">
        <v>260</v>
      </c>
      <c r="B31" t="s">
        <v>106</v>
      </c>
      <c r="C31">
        <v>2016</v>
      </c>
      <c r="D31">
        <v>4.9340244382619858E-2</v>
      </c>
      <c r="E31">
        <v>6.2313463538885117E-2</v>
      </c>
      <c r="F31">
        <f t="shared" si="0"/>
        <v>0.10857914640216892</v>
      </c>
      <c r="H31" s="232"/>
      <c r="I31" s="232"/>
    </row>
    <row r="32" spans="1:9">
      <c r="A32" t="s">
        <v>447</v>
      </c>
      <c r="B32" t="s">
        <v>448</v>
      </c>
      <c r="C32">
        <v>2016</v>
      </c>
      <c r="D32">
        <v>0.1157686859369278</v>
      </c>
      <c r="E32">
        <v>0.12409980595111847</v>
      </c>
      <c r="F32">
        <f t="shared" si="0"/>
        <v>0.22550162042805755</v>
      </c>
      <c r="H32" s="232"/>
      <c r="I32" s="232"/>
    </row>
    <row r="33" spans="1:9">
      <c r="A33" t="s">
        <v>261</v>
      </c>
      <c r="B33" t="s">
        <v>107</v>
      </c>
      <c r="C33">
        <v>2016</v>
      </c>
      <c r="D33">
        <v>0.14257912337779999</v>
      </c>
      <c r="E33">
        <v>0.15232005715370178</v>
      </c>
      <c r="F33">
        <f t="shared" si="0"/>
        <v>0.27318152030967058</v>
      </c>
      <c r="H33" s="232"/>
      <c r="I33" s="232"/>
    </row>
    <row r="34" spans="1:9">
      <c r="A34" t="s">
        <v>262</v>
      </c>
      <c r="B34" t="s">
        <v>108</v>
      </c>
      <c r="C34">
        <v>2016</v>
      </c>
      <c r="D34">
        <v>8.3212509751319885E-2</v>
      </c>
      <c r="E34">
        <v>8.3592094480991364E-2</v>
      </c>
      <c r="F34">
        <f t="shared" si="0"/>
        <v>0.1598486962551785</v>
      </c>
      <c r="H34" s="232"/>
      <c r="I34" s="232"/>
    </row>
    <row r="35" spans="1:9">
      <c r="A35" t="s">
        <v>263</v>
      </c>
      <c r="B35" t="s">
        <v>109</v>
      </c>
      <c r="C35">
        <v>2016</v>
      </c>
      <c r="D35">
        <v>0.12797398865222931</v>
      </c>
      <c r="E35">
        <v>0.12387341260910034</v>
      </c>
      <c r="F35">
        <f t="shared" si="0"/>
        <v>0.23599482656177972</v>
      </c>
      <c r="H35" s="232"/>
      <c r="I35" s="232"/>
    </row>
    <row r="36" spans="1:9">
      <c r="A36" t="s">
        <v>264</v>
      </c>
      <c r="B36" t="s">
        <v>110</v>
      </c>
      <c r="C36">
        <v>2016</v>
      </c>
      <c r="D36">
        <v>0.12790036201477051</v>
      </c>
      <c r="E36">
        <v>0.13119025528430939</v>
      </c>
      <c r="F36">
        <f t="shared" si="0"/>
        <v>0.24231133615540656</v>
      </c>
      <c r="H36" s="232"/>
      <c r="I36" s="232"/>
    </row>
    <row r="37" spans="1:9">
      <c r="A37" t="s">
        <v>265</v>
      </c>
      <c r="B37" t="s">
        <v>111</v>
      </c>
      <c r="C37">
        <v>2016</v>
      </c>
      <c r="D37">
        <v>5.4969940334558487E-2</v>
      </c>
      <c r="E37">
        <v>7.1192182600498199E-2</v>
      </c>
      <c r="F37">
        <f t="shared" si="0"/>
        <v>0.12224869290522034</v>
      </c>
      <c r="H37" s="232"/>
      <c r="I37" s="232"/>
    </row>
    <row r="38" spans="1:9">
      <c r="A38" t="s">
        <v>266</v>
      </c>
      <c r="B38" t="s">
        <v>112</v>
      </c>
      <c r="C38">
        <v>2016</v>
      </c>
      <c r="D38">
        <v>6.1164956539869308E-2</v>
      </c>
      <c r="E38">
        <v>8.9446753263473511E-2</v>
      </c>
      <c r="F38">
        <f t="shared" si="0"/>
        <v>0.14514070302735005</v>
      </c>
      <c r="H38" s="232"/>
      <c r="I38" s="232"/>
    </row>
    <row r="39" spans="1:9">
      <c r="A39" t="s">
        <v>267</v>
      </c>
      <c r="B39" t="s">
        <v>113</v>
      </c>
      <c r="C39">
        <v>2016</v>
      </c>
      <c r="D39">
        <v>7.881251722574234E-2</v>
      </c>
      <c r="E39">
        <v>9.4861939549446106E-2</v>
      </c>
      <c r="F39">
        <f t="shared" si="0"/>
        <v>0.1661981485303804</v>
      </c>
      <c r="H39" s="232"/>
      <c r="I39" s="232"/>
    </row>
    <row r="40" spans="1:9">
      <c r="A40" t="s">
        <v>268</v>
      </c>
      <c r="B40" t="s">
        <v>114</v>
      </c>
      <c r="C40">
        <v>2016</v>
      </c>
      <c r="D40">
        <v>5.4916270077228546E-2</v>
      </c>
      <c r="E40">
        <v>5.7056635618209839E-2</v>
      </c>
      <c r="F40">
        <f t="shared" si="0"/>
        <v>0.10883956808413076</v>
      </c>
      <c r="H40" s="232"/>
      <c r="I40" s="232"/>
    </row>
    <row r="41" spans="1:9">
      <c r="A41" t="s">
        <v>269</v>
      </c>
      <c r="B41" t="s">
        <v>115</v>
      </c>
      <c r="C41">
        <v>2016</v>
      </c>
      <c r="D41">
        <v>0.10460803657770157</v>
      </c>
      <c r="E41">
        <v>0.11100059747695923</v>
      </c>
      <c r="F41">
        <f t="shared" si="0"/>
        <v>0.20399707949364432</v>
      </c>
      <c r="H41" s="232"/>
      <c r="I41" s="232"/>
    </row>
    <row r="42" spans="1:9">
      <c r="A42" t="s">
        <v>270</v>
      </c>
      <c r="B42" t="s">
        <v>116</v>
      </c>
      <c r="C42">
        <v>2016</v>
      </c>
      <c r="D42">
        <v>7.9932332038879395E-2</v>
      </c>
      <c r="E42">
        <v>7.6977118849754333E-2</v>
      </c>
      <c r="F42">
        <f t="shared" si="0"/>
        <v>0.15075649026533888</v>
      </c>
      <c r="H42" s="232"/>
      <c r="I42" s="232"/>
    </row>
    <row r="43" spans="1:9">
      <c r="A43" t="s">
        <v>271</v>
      </c>
      <c r="B43" t="s">
        <v>117</v>
      </c>
      <c r="C43">
        <v>2016</v>
      </c>
      <c r="D43">
        <v>6.1863269656896591E-2</v>
      </c>
      <c r="E43">
        <v>7.4129953980445862E-2</v>
      </c>
      <c r="F43">
        <f t="shared" si="0"/>
        <v>0.13140730230459674</v>
      </c>
      <c r="H43" s="232"/>
      <c r="I43" s="232"/>
    </row>
    <row r="44" spans="1:9">
      <c r="A44" t="s">
        <v>272</v>
      </c>
      <c r="B44" t="s">
        <v>118</v>
      </c>
      <c r="C44">
        <v>2016</v>
      </c>
      <c r="D44">
        <v>7.3016278445720673E-2</v>
      </c>
      <c r="E44">
        <v>9.3843646347522736E-2</v>
      </c>
      <c r="F44">
        <f t="shared" si="0"/>
        <v>0.16000781098117089</v>
      </c>
      <c r="H44" s="232"/>
      <c r="I44" s="232"/>
    </row>
    <row r="45" spans="1:9">
      <c r="A45" t="s">
        <v>273</v>
      </c>
      <c r="B45" t="s">
        <v>119</v>
      </c>
      <c r="C45">
        <v>2016</v>
      </c>
      <c r="D45">
        <v>6.3578106462955475E-2</v>
      </c>
      <c r="E45">
        <v>8.4582589566707611E-2</v>
      </c>
      <c r="F45">
        <f t="shared" si="0"/>
        <v>0.14278309514527843</v>
      </c>
      <c r="H45" s="232"/>
      <c r="I45" s="232"/>
    </row>
    <row r="46" spans="1:9">
      <c r="A46" t="s">
        <v>274</v>
      </c>
      <c r="B46" t="s">
        <v>120</v>
      </c>
      <c r="C46">
        <v>2016</v>
      </c>
      <c r="D46">
        <v>6.0411453247070313E-2</v>
      </c>
      <c r="E46">
        <v>7.1987658739089966E-2</v>
      </c>
      <c r="F46">
        <f t="shared" si="0"/>
        <v>0.12805023290587769</v>
      </c>
      <c r="H46" s="232"/>
      <c r="I46" s="232"/>
    </row>
    <row r="47" spans="1:9">
      <c r="A47" t="s">
        <v>275</v>
      </c>
      <c r="B47" t="s">
        <v>121</v>
      </c>
      <c r="C47">
        <v>2016</v>
      </c>
      <c r="D47">
        <v>0.11688977479934692</v>
      </c>
      <c r="E47">
        <v>0.11564745008945465</v>
      </c>
      <c r="F47">
        <f t="shared" si="0"/>
        <v>0.21901922049172651</v>
      </c>
      <c r="H47" s="232"/>
      <c r="I47" s="232"/>
    </row>
    <row r="48" spans="1:9">
      <c r="A48" t="s">
        <v>276</v>
      </c>
      <c r="B48" t="s">
        <v>122</v>
      </c>
      <c r="C48">
        <v>2016</v>
      </c>
      <c r="D48">
        <v>0.13169474899768829</v>
      </c>
      <c r="E48">
        <v>0.13918197154998779</v>
      </c>
      <c r="F48">
        <f t="shared" si="0"/>
        <v>0.25254718573939705</v>
      </c>
      <c r="H48" s="232"/>
      <c r="I48" s="232"/>
    </row>
    <row r="49" spans="1:9">
      <c r="A49" t="s">
        <v>277</v>
      </c>
      <c r="B49" t="s">
        <v>123</v>
      </c>
      <c r="C49">
        <v>2016</v>
      </c>
      <c r="D49">
        <v>0.1162380576133728</v>
      </c>
      <c r="E49">
        <v>0.12084239721298218</v>
      </c>
      <c r="F49">
        <f t="shared" si="0"/>
        <v>0.22303396929697428</v>
      </c>
      <c r="H49" s="232"/>
      <c r="I49" s="232"/>
    </row>
    <row r="50" spans="1:9">
      <c r="A50" t="s">
        <v>278</v>
      </c>
      <c r="B50" t="s">
        <v>124</v>
      </c>
      <c r="C50">
        <v>2016</v>
      </c>
      <c r="D50">
        <v>8.2007259130477905E-2</v>
      </c>
      <c r="E50">
        <v>9.9003873765468597E-2</v>
      </c>
      <c r="F50">
        <f t="shared" si="0"/>
        <v>0.1728920965651406</v>
      </c>
      <c r="H50" s="232"/>
      <c r="I50" s="232"/>
    </row>
    <row r="51" spans="1:9">
      <c r="A51" t="s">
        <v>279</v>
      </c>
      <c r="B51" t="s">
        <v>125</v>
      </c>
      <c r="C51">
        <v>2016</v>
      </c>
      <c r="D51">
        <v>0.11532953381538391</v>
      </c>
      <c r="E51">
        <v>0.11546771973371506</v>
      </c>
      <c r="F51">
        <f t="shared" si="0"/>
        <v>0.21748041526148421</v>
      </c>
      <c r="H51" s="232"/>
      <c r="I51" s="232"/>
    </row>
    <row r="52" spans="1:9">
      <c r="A52" t="s">
        <v>280</v>
      </c>
      <c r="B52" t="s">
        <v>126</v>
      </c>
      <c r="C52">
        <v>2016</v>
      </c>
      <c r="D52">
        <v>0.14107464253902435</v>
      </c>
      <c r="E52">
        <v>0.16442643105983734</v>
      </c>
      <c r="F52">
        <f t="shared" si="0"/>
        <v>0.28230467361312761</v>
      </c>
      <c r="H52" s="232"/>
      <c r="I52" s="232"/>
    </row>
    <row r="53" spans="1:9">
      <c r="A53" t="s">
        <v>281</v>
      </c>
      <c r="B53" t="s">
        <v>127</v>
      </c>
      <c r="C53">
        <v>2016</v>
      </c>
      <c r="D53">
        <v>5.5054526776075363E-2</v>
      </c>
      <c r="E53">
        <v>6.8939797580242157E-2</v>
      </c>
      <c r="F53">
        <f t="shared" si="0"/>
        <v>0.12019887642449889</v>
      </c>
      <c r="H53" s="232"/>
      <c r="I53" s="232"/>
    </row>
    <row r="54" spans="1:9">
      <c r="A54" t="s">
        <v>282</v>
      </c>
      <c r="B54" t="s">
        <v>128</v>
      </c>
      <c r="C54">
        <v>2016</v>
      </c>
      <c r="D54">
        <v>2.9478525742888451E-2</v>
      </c>
      <c r="E54">
        <v>4.5475970953702927E-2</v>
      </c>
      <c r="F54">
        <f t="shared" si="0"/>
        <v>7.361393211614975E-2</v>
      </c>
      <c r="H54" s="232"/>
      <c r="I54" s="232"/>
    </row>
    <row r="55" spans="1:9">
      <c r="A55" t="s">
        <v>283</v>
      </c>
      <c r="B55" t="s">
        <v>129</v>
      </c>
      <c r="C55">
        <v>2016</v>
      </c>
      <c r="D55">
        <v>0.10510890930891037</v>
      </c>
      <c r="E55">
        <v>0.12049141526222229</v>
      </c>
      <c r="F55">
        <f t="shared" si="0"/>
        <v>0.21293560333183348</v>
      </c>
      <c r="H55" s="232"/>
      <c r="I55" s="232"/>
    </row>
    <row r="56" spans="1:9">
      <c r="A56" t="s">
        <v>284</v>
      </c>
      <c r="B56" t="s">
        <v>130</v>
      </c>
      <c r="C56">
        <v>2016</v>
      </c>
      <c r="D56">
        <v>8.9497208595275879E-2</v>
      </c>
      <c r="E56">
        <v>0.1030627116560936</v>
      </c>
      <c r="F56">
        <f t="shared" si="0"/>
        <v>0.1833360952478893</v>
      </c>
      <c r="H56" s="232"/>
      <c r="I56" s="232"/>
    </row>
    <row r="57" spans="1:9">
      <c r="A57" t="s">
        <v>285</v>
      </c>
      <c r="B57" t="s">
        <v>131</v>
      </c>
      <c r="C57">
        <v>2016</v>
      </c>
      <c r="D57">
        <v>7.8280895948410034E-2</v>
      </c>
      <c r="E57">
        <v>8.4684215486049652E-2</v>
      </c>
      <c r="F57">
        <f t="shared" si="0"/>
        <v>0.1563359551735235</v>
      </c>
      <c r="H57" s="232"/>
      <c r="I57" s="232"/>
    </row>
    <row r="58" spans="1:9">
      <c r="A58" t="s">
        <v>286</v>
      </c>
      <c r="B58" t="s">
        <v>132</v>
      </c>
      <c r="C58">
        <v>2016</v>
      </c>
      <c r="D58">
        <v>8.2502350211143494E-2</v>
      </c>
      <c r="E58">
        <v>8.4737345576286316E-2</v>
      </c>
      <c r="F58">
        <f t="shared" si="0"/>
        <v>0.16024866562673235</v>
      </c>
      <c r="H58" s="232"/>
      <c r="I58" s="232"/>
    </row>
    <row r="59" spans="1:9">
      <c r="A59" t="s">
        <v>287</v>
      </c>
      <c r="B59" t="s">
        <v>133</v>
      </c>
      <c r="C59">
        <v>2016</v>
      </c>
      <c r="D59">
        <v>6.2419578433036804E-2</v>
      </c>
      <c r="E59">
        <v>6.5543308854103088E-2</v>
      </c>
      <c r="F59">
        <f t="shared" si="0"/>
        <v>0.12387170157936045</v>
      </c>
      <c r="H59" s="232"/>
      <c r="I59" s="232"/>
    </row>
    <row r="60" spans="1:9">
      <c r="A60" t="s">
        <v>288</v>
      </c>
      <c r="B60" t="s">
        <v>134</v>
      </c>
      <c r="C60">
        <v>2016</v>
      </c>
      <c r="D60">
        <v>6.9253265857696533E-2</v>
      </c>
      <c r="E60">
        <v>7.4931390583515167E-2</v>
      </c>
      <c r="F60">
        <f t="shared" si="0"/>
        <v>0.13899541292804463</v>
      </c>
      <c r="H60" s="232"/>
      <c r="I60" s="232"/>
    </row>
    <row r="61" spans="1:9">
      <c r="A61" t="s">
        <v>289</v>
      </c>
      <c r="B61" t="s">
        <v>135</v>
      </c>
      <c r="C61">
        <v>2016</v>
      </c>
      <c r="D61">
        <v>7.2287850081920624E-2</v>
      </c>
      <c r="E61">
        <v>7.1749508380889893E-2</v>
      </c>
      <c r="F61">
        <f t="shared" si="0"/>
        <v>0.13885074075752124</v>
      </c>
      <c r="H61" s="232"/>
      <c r="I61" s="232"/>
    </row>
    <row r="62" spans="1:9">
      <c r="A62" t="s">
        <v>290</v>
      </c>
      <c r="B62" t="s">
        <v>136</v>
      </c>
      <c r="C62">
        <v>2016</v>
      </c>
      <c r="D62">
        <v>4.8408981412649155E-2</v>
      </c>
      <c r="E62">
        <v>6.378500908613205E-2</v>
      </c>
      <c r="F62">
        <f t="shared" si="0"/>
        <v>0.10910622317952501</v>
      </c>
      <c r="H62" s="232"/>
      <c r="I62" s="232"/>
    </row>
    <row r="63" spans="1:9">
      <c r="A63" t="s">
        <v>291</v>
      </c>
      <c r="B63" t="s">
        <v>137</v>
      </c>
      <c r="C63">
        <v>2016</v>
      </c>
      <c r="D63">
        <v>9.1122142970561981E-2</v>
      </c>
      <c r="E63">
        <v>9.2809215188026428E-2</v>
      </c>
      <c r="F63">
        <f t="shared" si="0"/>
        <v>0.17547438358323941</v>
      </c>
      <c r="H63" s="232"/>
      <c r="I63" s="232"/>
    </row>
    <row r="64" spans="1:9">
      <c r="A64" t="s">
        <v>292</v>
      </c>
      <c r="B64" t="s">
        <v>138</v>
      </c>
      <c r="C64">
        <v>2016</v>
      </c>
      <c r="D64">
        <v>4.9777068197727203E-2</v>
      </c>
      <c r="E64">
        <v>6.7327208817005157E-2</v>
      </c>
      <c r="F64">
        <f t="shared" si="0"/>
        <v>0.11375292594988573</v>
      </c>
      <c r="H64" s="232"/>
      <c r="I64" s="232"/>
    </row>
    <row r="65" spans="1:9">
      <c r="A65" t="s">
        <v>293</v>
      </c>
      <c r="B65" t="s">
        <v>139</v>
      </c>
      <c r="C65">
        <v>2016</v>
      </c>
      <c r="D65">
        <v>0.10472298413515091</v>
      </c>
      <c r="E65">
        <v>0.10398337244987488</v>
      </c>
      <c r="F65">
        <f t="shared" si="0"/>
        <v>0.19781690752163805</v>
      </c>
      <c r="H65" s="232"/>
      <c r="I65" s="232"/>
    </row>
    <row r="66" spans="1:9">
      <c r="A66" t="s">
        <v>294</v>
      </c>
      <c r="B66" t="s">
        <v>140</v>
      </c>
      <c r="C66">
        <v>2016</v>
      </c>
      <c r="D66">
        <v>9.33355912566185E-2</v>
      </c>
      <c r="E66">
        <v>0.11832952499389648</v>
      </c>
      <c r="F66">
        <f t="shared" si="0"/>
        <v>0.20062076007209484</v>
      </c>
      <c r="H66" s="232"/>
      <c r="I66" s="232"/>
    </row>
    <row r="67" spans="1:9">
      <c r="A67" t="s">
        <v>414</v>
      </c>
      <c r="B67" t="s">
        <v>141</v>
      </c>
      <c r="C67">
        <v>2016</v>
      </c>
      <c r="D67">
        <v>0.11140839010477066</v>
      </c>
      <c r="E67">
        <v>0.10191750526428223</v>
      </c>
      <c r="F67">
        <f t="shared" ref="F67:F130" si="1">1-(1-D67)*(1-E67)</f>
        <v>0.20197143018406472</v>
      </c>
      <c r="H67" s="232"/>
      <c r="I67" s="232"/>
    </row>
    <row r="68" spans="1:9">
      <c r="A68" t="s">
        <v>296</v>
      </c>
      <c r="B68" t="s">
        <v>142</v>
      </c>
      <c r="C68">
        <v>2016</v>
      </c>
      <c r="D68">
        <v>0.1711818128824234</v>
      </c>
      <c r="E68">
        <v>0.19479236006736755</v>
      </c>
      <c r="F68">
        <f t="shared" si="1"/>
        <v>0.3326292636178132</v>
      </c>
      <c r="H68" s="232"/>
      <c r="I68" s="232"/>
    </row>
    <row r="69" spans="1:9">
      <c r="A69" t="s">
        <v>297</v>
      </c>
      <c r="B69" t="s">
        <v>143</v>
      </c>
      <c r="C69">
        <v>2016</v>
      </c>
      <c r="D69">
        <v>2.9220962896943092E-2</v>
      </c>
      <c r="E69">
        <v>3.7951640784740448E-2</v>
      </c>
      <c r="F69">
        <f t="shared" si="1"/>
        <v>6.6063620194434569E-2</v>
      </c>
      <c r="H69" s="232"/>
      <c r="I69" s="232"/>
    </row>
    <row r="70" spans="1:9">
      <c r="A70" t="s">
        <v>298</v>
      </c>
      <c r="B70" t="s">
        <v>144</v>
      </c>
      <c r="C70">
        <v>2016</v>
      </c>
      <c r="D70">
        <v>9.3480385839939117E-2</v>
      </c>
      <c r="E70">
        <v>9.5749519765377045E-2</v>
      </c>
      <c r="F70">
        <f t="shared" si="1"/>
        <v>0.18027920355365978</v>
      </c>
      <c r="H70" s="232"/>
      <c r="I70" s="232"/>
    </row>
    <row r="71" spans="1:9">
      <c r="A71" t="s">
        <v>299</v>
      </c>
      <c r="B71" t="s">
        <v>145</v>
      </c>
      <c r="C71">
        <v>2016</v>
      </c>
      <c r="D71">
        <v>0.11246850341558456</v>
      </c>
      <c r="E71">
        <v>0.10687674582004547</v>
      </c>
      <c r="F71">
        <f t="shared" si="1"/>
        <v>0.20732498158332169</v>
      </c>
      <c r="H71" s="232"/>
      <c r="I71" s="232"/>
    </row>
    <row r="72" spans="1:9">
      <c r="A72" t="s">
        <v>300</v>
      </c>
      <c r="B72" t="s">
        <v>146</v>
      </c>
      <c r="C72">
        <v>2016</v>
      </c>
      <c r="D72">
        <v>8.089958131313324E-2</v>
      </c>
      <c r="E72">
        <v>8.5227563977241516E-2</v>
      </c>
      <c r="F72">
        <f t="shared" si="1"/>
        <v>0.15923227104827764</v>
      </c>
      <c r="H72" s="232"/>
      <c r="I72" s="232"/>
    </row>
    <row r="73" spans="1:9">
      <c r="A73" t="s">
        <v>301</v>
      </c>
      <c r="B73" t="s">
        <v>147</v>
      </c>
      <c r="C73">
        <v>2016</v>
      </c>
      <c r="D73">
        <v>5.5888090282678604E-2</v>
      </c>
      <c r="E73">
        <v>7.1926586329936981E-2</v>
      </c>
      <c r="F73">
        <f t="shared" si="1"/>
        <v>0.12379483706208316</v>
      </c>
      <c r="H73" s="232"/>
      <c r="I73" s="232"/>
    </row>
    <row r="74" spans="1:9">
      <c r="A74" t="s">
        <v>302</v>
      </c>
      <c r="B74" t="s">
        <v>148</v>
      </c>
      <c r="C74">
        <v>2016</v>
      </c>
      <c r="D74">
        <v>2.8118183836340904E-2</v>
      </c>
      <c r="E74">
        <v>3.6452315747737885E-2</v>
      </c>
      <c r="F74">
        <f t="shared" si="1"/>
        <v>6.3545526668623564E-2</v>
      </c>
      <c r="H74" s="232"/>
      <c r="I74" s="232"/>
    </row>
    <row r="75" spans="1:9">
      <c r="A75" t="s">
        <v>303</v>
      </c>
      <c r="B75" t="s">
        <v>149</v>
      </c>
      <c r="C75">
        <v>2016</v>
      </c>
      <c r="D75">
        <v>5.3645756095647812E-2</v>
      </c>
      <c r="E75">
        <v>5.1029030233621597E-2</v>
      </c>
      <c r="F75">
        <f t="shared" si="1"/>
        <v>0.10193729541955909</v>
      </c>
      <c r="H75" s="232"/>
      <c r="I75" s="232"/>
    </row>
    <row r="76" spans="1:9">
      <c r="A76" t="s">
        <v>449</v>
      </c>
      <c r="B76" t="s">
        <v>450</v>
      </c>
      <c r="C76">
        <v>2016</v>
      </c>
      <c r="D76">
        <v>5.7857915759086609E-2</v>
      </c>
      <c r="E76">
        <v>6.026165559887886E-2</v>
      </c>
      <c r="F76">
        <f t="shared" si="1"/>
        <v>0.11463295756482239</v>
      </c>
      <c r="H76" s="232"/>
      <c r="I76" s="232"/>
    </row>
    <row r="77" spans="1:9">
      <c r="A77" t="s">
        <v>304</v>
      </c>
      <c r="B77" t="s">
        <v>150</v>
      </c>
      <c r="C77">
        <v>2016</v>
      </c>
      <c r="D77">
        <v>9.8097316920757294E-2</v>
      </c>
      <c r="E77">
        <v>0.10262669622898102</v>
      </c>
      <c r="F77">
        <f t="shared" si="1"/>
        <v>0.19065660960523367</v>
      </c>
      <c r="H77" s="232"/>
      <c r="I77" s="232"/>
    </row>
    <row r="78" spans="1:9">
      <c r="A78" t="s">
        <v>305</v>
      </c>
      <c r="B78" t="s">
        <v>151</v>
      </c>
      <c r="C78">
        <v>2016</v>
      </c>
      <c r="D78">
        <v>6.4048983156681061E-2</v>
      </c>
      <c r="E78">
        <v>8.7974876165390015E-2</v>
      </c>
      <c r="F78">
        <f t="shared" si="1"/>
        <v>0.14638915796034291</v>
      </c>
      <c r="H78" s="232"/>
      <c r="I78" s="232"/>
    </row>
    <row r="79" spans="1:9">
      <c r="A79" t="s">
        <v>306</v>
      </c>
      <c r="B79" t="s">
        <v>152</v>
      </c>
      <c r="C79">
        <v>2016</v>
      </c>
      <c r="D79">
        <v>4.6277709305286407E-2</v>
      </c>
      <c r="E79">
        <v>6.1939768493175507E-2</v>
      </c>
      <c r="F79">
        <f t="shared" si="1"/>
        <v>0.10535104719769794</v>
      </c>
      <c r="H79" s="232"/>
      <c r="I79" s="232"/>
    </row>
    <row r="80" spans="1:9">
      <c r="A80" t="s">
        <v>307</v>
      </c>
      <c r="B80" t="s">
        <v>153</v>
      </c>
      <c r="C80">
        <v>2016</v>
      </c>
      <c r="D80">
        <v>7.6436907052993774E-2</v>
      </c>
      <c r="E80">
        <v>7.7206067740917206E-2</v>
      </c>
      <c r="F80">
        <f t="shared" si="1"/>
        <v>0.14774158177007135</v>
      </c>
      <c r="H80" s="232"/>
      <c r="I80" s="232"/>
    </row>
    <row r="81" spans="1:9">
      <c r="A81" t="s">
        <v>308</v>
      </c>
      <c r="B81" t="s">
        <v>154</v>
      </c>
      <c r="C81">
        <v>2016</v>
      </c>
      <c r="D81">
        <v>7.9296238720417023E-2</v>
      </c>
      <c r="E81">
        <v>7.4737310409545898E-2</v>
      </c>
      <c r="F81">
        <f t="shared" si="1"/>
        <v>0.14810716152240566</v>
      </c>
      <c r="H81" s="232"/>
      <c r="I81" s="232"/>
    </row>
    <row r="82" spans="1:9">
      <c r="A82" t="s">
        <v>309</v>
      </c>
      <c r="B82" t="s">
        <v>155</v>
      </c>
      <c r="C82">
        <v>2016</v>
      </c>
      <c r="D82">
        <v>5.6963555514812469E-2</v>
      </c>
      <c r="E82">
        <v>6.1272028833627701E-2</v>
      </c>
      <c r="F82">
        <f t="shared" si="1"/>
        <v>0.1147453117324706</v>
      </c>
      <c r="H82" s="232"/>
      <c r="I82" s="232"/>
    </row>
    <row r="83" spans="1:9">
      <c r="A83" t="s">
        <v>310</v>
      </c>
      <c r="B83" t="s">
        <v>156</v>
      </c>
      <c r="C83">
        <v>2016</v>
      </c>
      <c r="D83">
        <v>6.8969607353210449E-2</v>
      </c>
      <c r="E83">
        <v>8.932766318321228E-2</v>
      </c>
      <c r="F83">
        <f t="shared" si="1"/>
        <v>0.15213637668089675</v>
      </c>
      <c r="H83" s="232"/>
      <c r="I83" s="232"/>
    </row>
    <row r="84" spans="1:9">
      <c r="A84" t="s">
        <v>311</v>
      </c>
      <c r="B84" t="s">
        <v>157</v>
      </c>
      <c r="C84">
        <v>2016</v>
      </c>
      <c r="D84">
        <v>4.8574488610029221E-2</v>
      </c>
      <c r="E84">
        <v>5.7258360087871552E-2</v>
      </c>
      <c r="F84">
        <f t="shared" si="1"/>
        <v>0.10305155313798353</v>
      </c>
      <c r="H84" s="232"/>
      <c r="I84" s="232"/>
    </row>
    <row r="85" spans="1:9">
      <c r="A85" t="s">
        <v>312</v>
      </c>
      <c r="B85" t="s">
        <v>158</v>
      </c>
      <c r="C85">
        <v>2016</v>
      </c>
      <c r="D85">
        <v>8.6860597133636475E-2</v>
      </c>
      <c r="E85">
        <v>0.10082106292247772</v>
      </c>
      <c r="F85">
        <f t="shared" si="1"/>
        <v>0.17892428232701985</v>
      </c>
      <c r="H85" s="232"/>
      <c r="I85" s="232"/>
    </row>
    <row r="86" spans="1:9">
      <c r="A86" t="s">
        <v>313</v>
      </c>
      <c r="B86" t="s">
        <v>159</v>
      </c>
      <c r="C86">
        <v>2016</v>
      </c>
      <c r="D86">
        <v>4.659029096364975E-2</v>
      </c>
      <c r="E86">
        <v>5.693453922867775E-2</v>
      </c>
      <c r="F86">
        <f t="shared" si="1"/>
        <v>0.10087223344378204</v>
      </c>
      <c r="H86" s="232"/>
      <c r="I86" s="232"/>
    </row>
    <row r="87" spans="1:9">
      <c r="A87" t="s">
        <v>314</v>
      </c>
      <c r="B87" t="s">
        <v>160</v>
      </c>
      <c r="C87">
        <v>2016</v>
      </c>
      <c r="D87">
        <v>7.9010859131813049E-2</v>
      </c>
      <c r="E87">
        <v>9.3386776745319366E-2</v>
      </c>
      <c r="F87">
        <f t="shared" si="1"/>
        <v>0.16501906641493391</v>
      </c>
      <c r="H87" s="232"/>
      <c r="I87" s="232"/>
    </row>
    <row r="88" spans="1:9">
      <c r="A88" t="s">
        <v>315</v>
      </c>
      <c r="B88" t="s">
        <v>161</v>
      </c>
      <c r="C88">
        <v>2016</v>
      </c>
      <c r="D88">
        <v>4.20491062104702E-2</v>
      </c>
      <c r="E88">
        <v>7.5280569493770599E-2</v>
      </c>
      <c r="F88">
        <f t="shared" si="1"/>
        <v>0.11416419504201258</v>
      </c>
      <c r="H88" s="232"/>
      <c r="I88" s="232"/>
    </row>
    <row r="89" spans="1:9">
      <c r="A89" t="s">
        <v>316</v>
      </c>
      <c r="B89" t="s">
        <v>162</v>
      </c>
      <c r="C89">
        <v>2016</v>
      </c>
      <c r="D89">
        <v>5.9867117553949356E-2</v>
      </c>
      <c r="E89">
        <v>7.8785456717014313E-2</v>
      </c>
      <c r="F89">
        <f t="shared" si="1"/>
        <v>0.13393591607214461</v>
      </c>
      <c r="H89" s="232"/>
      <c r="I89" s="232"/>
    </row>
    <row r="90" spans="1:9">
      <c r="A90" t="s">
        <v>317</v>
      </c>
      <c r="B90" t="s">
        <v>163</v>
      </c>
      <c r="C90">
        <v>2016</v>
      </c>
      <c r="D90">
        <v>0.10243207216262817</v>
      </c>
      <c r="E90">
        <v>9.7044825553894043E-2</v>
      </c>
      <c r="F90">
        <f t="shared" si="1"/>
        <v>0.18953639514237608</v>
      </c>
      <c r="H90" s="232"/>
      <c r="I90" s="232"/>
    </row>
    <row r="91" spans="1:9">
      <c r="A91" t="s">
        <v>318</v>
      </c>
      <c r="B91" t="s">
        <v>164</v>
      </c>
      <c r="C91">
        <v>2016</v>
      </c>
      <c r="D91">
        <v>4.5347504317760468E-2</v>
      </c>
      <c r="E91">
        <v>6.5078884363174438E-2</v>
      </c>
      <c r="F91">
        <f t="shared" si="1"/>
        <v>0.10747522369128082</v>
      </c>
      <c r="H91" s="232"/>
      <c r="I91" s="232"/>
    </row>
    <row r="92" spans="1:9">
      <c r="A92" t="s">
        <v>319</v>
      </c>
      <c r="B92" t="s">
        <v>165</v>
      </c>
      <c r="C92">
        <v>2016</v>
      </c>
      <c r="D92">
        <v>4.2348518967628479E-2</v>
      </c>
      <c r="E92">
        <v>7.2131477296352386E-2</v>
      </c>
      <c r="F92">
        <f t="shared" si="1"/>
        <v>0.11142533502953322</v>
      </c>
      <c r="H92" s="232"/>
      <c r="I92" s="232"/>
    </row>
    <row r="93" spans="1:9">
      <c r="A93" t="s">
        <v>320</v>
      </c>
      <c r="B93" t="s">
        <v>166</v>
      </c>
      <c r="C93">
        <v>2016</v>
      </c>
      <c r="D93">
        <v>0.14077028632164001</v>
      </c>
      <c r="E93">
        <v>0.13077792525291443</v>
      </c>
      <c r="F93">
        <f t="shared" si="1"/>
        <v>0.25313856559215164</v>
      </c>
      <c r="H93" s="232"/>
      <c r="I93" s="232"/>
    </row>
    <row r="94" spans="1:9">
      <c r="A94" t="s">
        <v>321</v>
      </c>
      <c r="B94" t="s">
        <v>167</v>
      </c>
      <c r="C94">
        <v>2016</v>
      </c>
      <c r="D94">
        <v>0.10569284856319427</v>
      </c>
      <c r="E94">
        <v>9.1669321060180664E-2</v>
      </c>
      <c r="F94">
        <f t="shared" si="1"/>
        <v>0.18767337795467043</v>
      </c>
      <c r="H94" s="232"/>
      <c r="I94" s="232"/>
    </row>
    <row r="95" spans="1:9">
      <c r="A95" t="s">
        <v>322</v>
      </c>
      <c r="B95" t="s">
        <v>168</v>
      </c>
      <c r="C95">
        <v>2016</v>
      </c>
      <c r="D95">
        <v>4.1020546108484268E-2</v>
      </c>
      <c r="E95">
        <v>4.752495139837265E-2</v>
      </c>
      <c r="F95">
        <f t="shared" si="1"/>
        <v>8.6595998046716471E-2</v>
      </c>
      <c r="H95" s="232"/>
      <c r="I95" s="232"/>
    </row>
    <row r="96" spans="1:9">
      <c r="A96" t="s">
        <v>323</v>
      </c>
      <c r="B96" t="s">
        <v>169</v>
      </c>
      <c r="C96">
        <v>2016</v>
      </c>
      <c r="D96">
        <v>4.7654237598180771E-2</v>
      </c>
      <c r="E96">
        <v>6.5198861062526703E-2</v>
      </c>
      <c r="F96">
        <f t="shared" si="1"/>
        <v>0.10974609664450308</v>
      </c>
      <c r="H96" s="232"/>
      <c r="I96" s="232"/>
    </row>
    <row r="97" spans="1:9">
      <c r="A97" t="s">
        <v>324</v>
      </c>
      <c r="B97" t="s">
        <v>170</v>
      </c>
      <c r="C97">
        <v>2016</v>
      </c>
      <c r="D97">
        <v>6.4538471400737762E-2</v>
      </c>
      <c r="E97">
        <v>7.256048172712326E-2</v>
      </c>
      <c r="F97">
        <f t="shared" si="1"/>
        <v>0.13241601055309138</v>
      </c>
      <c r="H97" s="232"/>
      <c r="I97" s="232"/>
    </row>
    <row r="98" spans="1:9">
      <c r="A98" t="s">
        <v>325</v>
      </c>
      <c r="B98" t="s">
        <v>171</v>
      </c>
      <c r="C98">
        <v>2016</v>
      </c>
      <c r="D98">
        <v>0.26578947901725769</v>
      </c>
      <c r="E98">
        <v>0.27675595879554749</v>
      </c>
      <c r="F98">
        <f t="shared" si="1"/>
        <v>0.46898661570961497</v>
      </c>
      <c r="H98" s="232"/>
      <c r="I98" s="232"/>
    </row>
    <row r="99" spans="1:9">
      <c r="A99" t="s">
        <v>451</v>
      </c>
      <c r="B99" t="s">
        <v>452</v>
      </c>
      <c r="C99">
        <v>2016</v>
      </c>
      <c r="D99">
        <v>0.11069340258836746</v>
      </c>
      <c r="E99">
        <v>0.10927381366491318</v>
      </c>
      <c r="F99">
        <f t="shared" si="1"/>
        <v>0.2078713260049041</v>
      </c>
      <c r="H99" s="232"/>
      <c r="I99" s="232"/>
    </row>
    <row r="100" spans="1:9">
      <c r="A100" t="s">
        <v>326</v>
      </c>
      <c r="B100" t="s">
        <v>172</v>
      </c>
      <c r="C100">
        <v>2016</v>
      </c>
      <c r="D100">
        <v>0.13667015731334686</v>
      </c>
      <c r="E100">
        <v>0.12563550472259521</v>
      </c>
      <c r="F100">
        <f t="shared" si="1"/>
        <v>0.24513503784136326</v>
      </c>
      <c r="H100" s="232"/>
      <c r="I100" s="232"/>
    </row>
    <row r="101" spans="1:9">
      <c r="A101" t="s">
        <v>327</v>
      </c>
      <c r="B101" t="s">
        <v>173</v>
      </c>
      <c r="C101">
        <v>2016</v>
      </c>
      <c r="D101">
        <v>0.10343723744153976</v>
      </c>
      <c r="E101">
        <v>9.2690445482730865E-2</v>
      </c>
      <c r="F101">
        <f t="shared" si="1"/>
        <v>0.18654003930631124</v>
      </c>
      <c r="H101" s="232"/>
      <c r="I101" s="232"/>
    </row>
    <row r="102" spans="1:9">
      <c r="A102" t="s">
        <v>328</v>
      </c>
      <c r="B102" t="s">
        <v>174</v>
      </c>
      <c r="C102">
        <v>2016</v>
      </c>
      <c r="D102">
        <v>8.33120197057724E-2</v>
      </c>
      <c r="E102">
        <v>8.2883872091770172E-2</v>
      </c>
      <c r="F102">
        <f t="shared" si="1"/>
        <v>0.1592906690125423</v>
      </c>
      <c r="H102" s="232"/>
      <c r="I102" s="232"/>
    </row>
    <row r="103" spans="1:9">
      <c r="A103" t="s">
        <v>329</v>
      </c>
      <c r="B103" t="s">
        <v>175</v>
      </c>
      <c r="C103">
        <v>2016</v>
      </c>
      <c r="D103">
        <v>8.6505122482776642E-2</v>
      </c>
      <c r="E103">
        <v>0.12168771028518677</v>
      </c>
      <c r="F103">
        <f t="shared" si="1"/>
        <v>0.19766622248509469</v>
      </c>
      <c r="H103" s="232"/>
      <c r="I103" s="232"/>
    </row>
    <row r="104" spans="1:9">
      <c r="A104" t="s">
        <v>330</v>
      </c>
      <c r="B104" t="s">
        <v>176</v>
      </c>
      <c r="C104">
        <v>2016</v>
      </c>
      <c r="D104">
        <v>7.7192783355712891E-2</v>
      </c>
      <c r="E104">
        <v>9.8149217665195465E-2</v>
      </c>
      <c r="F104">
        <f t="shared" si="1"/>
        <v>0.16776558972514621</v>
      </c>
      <c r="H104" s="232"/>
      <c r="I104" s="232"/>
    </row>
    <row r="105" spans="1:9">
      <c r="A105" t="s">
        <v>331</v>
      </c>
      <c r="B105" t="s">
        <v>177</v>
      </c>
      <c r="C105">
        <v>2016</v>
      </c>
      <c r="D105">
        <v>7.5509674847126007E-2</v>
      </c>
      <c r="E105">
        <v>8.1158332526683807E-2</v>
      </c>
      <c r="F105">
        <f t="shared" si="1"/>
        <v>0.15053976807358493</v>
      </c>
      <c r="H105" s="232"/>
      <c r="I105" s="232"/>
    </row>
    <row r="106" spans="1:9">
      <c r="A106" t="s">
        <v>332</v>
      </c>
      <c r="B106" t="s">
        <v>178</v>
      </c>
      <c r="C106">
        <v>2016</v>
      </c>
      <c r="D106">
        <v>7.0408150553703308E-2</v>
      </c>
      <c r="E106">
        <v>9.261612594127655E-2</v>
      </c>
      <c r="F106">
        <f t="shared" si="1"/>
        <v>0.15650334635600571</v>
      </c>
      <c r="H106" s="232"/>
      <c r="I106" s="232"/>
    </row>
    <row r="107" spans="1:9">
      <c r="A107" t="s">
        <v>333</v>
      </c>
      <c r="B107" t="s">
        <v>179</v>
      </c>
      <c r="C107">
        <v>2016</v>
      </c>
      <c r="D107">
        <v>0.11566826701164246</v>
      </c>
      <c r="E107">
        <v>0.11077781766653061</v>
      </c>
      <c r="F107">
        <f t="shared" si="1"/>
        <v>0.21363260648535376</v>
      </c>
      <c r="H107" s="232"/>
      <c r="I107" s="232"/>
    </row>
    <row r="108" spans="1:9">
      <c r="A108" t="s">
        <v>334</v>
      </c>
      <c r="B108" t="s">
        <v>180</v>
      </c>
      <c r="C108">
        <v>2016</v>
      </c>
      <c r="D108">
        <v>6.3976749777793884E-2</v>
      </c>
      <c r="E108">
        <v>8.1696875393390656E-2</v>
      </c>
      <c r="F108">
        <f t="shared" si="1"/>
        <v>0.14044692461651398</v>
      </c>
      <c r="H108" s="232"/>
      <c r="I108" s="232"/>
    </row>
    <row r="109" spans="1:9">
      <c r="A109" t="s">
        <v>335</v>
      </c>
      <c r="B109" t="s">
        <v>181</v>
      </c>
      <c r="C109">
        <v>2016</v>
      </c>
      <c r="D109">
        <v>0.11052154004573822</v>
      </c>
      <c r="E109">
        <v>0.12939955294132233</v>
      </c>
      <c r="F109">
        <f t="shared" si="1"/>
        <v>0.22561965511475557</v>
      </c>
      <c r="H109" s="232"/>
      <c r="I109" s="232"/>
    </row>
    <row r="110" spans="1:9">
      <c r="A110" t="s">
        <v>336</v>
      </c>
      <c r="B110" t="s">
        <v>182</v>
      </c>
      <c r="C110">
        <v>2016</v>
      </c>
      <c r="D110">
        <v>8.1980869174003601E-2</v>
      </c>
      <c r="E110">
        <v>0.11147940158843994</v>
      </c>
      <c r="F110">
        <f t="shared" si="1"/>
        <v>0.18432109252522544</v>
      </c>
      <c r="H110" s="232"/>
      <c r="I110" s="232"/>
    </row>
    <row r="111" spans="1:9">
      <c r="A111" t="s">
        <v>337</v>
      </c>
      <c r="B111" t="s">
        <v>183</v>
      </c>
      <c r="C111">
        <v>2016</v>
      </c>
      <c r="D111">
        <v>8.7747447192668915E-2</v>
      </c>
      <c r="E111">
        <v>9.0270958840847015E-2</v>
      </c>
      <c r="F111">
        <f t="shared" si="1"/>
        <v>0.17009735983959717</v>
      </c>
      <c r="H111" s="232"/>
      <c r="I111" s="232"/>
    </row>
    <row r="112" spans="1:9">
      <c r="A112" t="s">
        <v>338</v>
      </c>
      <c r="B112" t="s">
        <v>184</v>
      </c>
      <c r="C112">
        <v>2016</v>
      </c>
      <c r="D112">
        <v>0.12525638937950134</v>
      </c>
      <c r="E112">
        <v>0.14544601738452911</v>
      </c>
      <c r="F112">
        <f t="shared" si="1"/>
        <v>0.25248436377681616</v>
      </c>
      <c r="H112" s="232"/>
      <c r="I112" s="232"/>
    </row>
    <row r="113" spans="1:9">
      <c r="A113" t="s">
        <v>339</v>
      </c>
      <c r="B113" t="s">
        <v>185</v>
      </c>
      <c r="C113">
        <v>2016</v>
      </c>
      <c r="D113">
        <v>0.10284724086523056</v>
      </c>
      <c r="E113">
        <v>9.7403265535831451E-2</v>
      </c>
      <c r="F113">
        <f t="shared" si="1"/>
        <v>0.19023284928943829</v>
      </c>
      <c r="H113" s="232"/>
      <c r="I113" s="232"/>
    </row>
    <row r="114" spans="1:9">
      <c r="A114" t="s">
        <v>340</v>
      </c>
      <c r="B114" t="s">
        <v>186</v>
      </c>
      <c r="C114">
        <v>2016</v>
      </c>
      <c r="D114">
        <v>6.4724735915660858E-2</v>
      </c>
      <c r="E114">
        <v>6.6868878901004791E-2</v>
      </c>
      <c r="F114">
        <f t="shared" si="1"/>
        <v>0.12726554428882175</v>
      </c>
      <c r="H114" s="232"/>
      <c r="I114" s="232"/>
    </row>
    <row r="115" spans="1:9">
      <c r="A115" t="s">
        <v>341</v>
      </c>
      <c r="B115" t="s">
        <v>187</v>
      </c>
      <c r="C115">
        <v>2016</v>
      </c>
      <c r="D115">
        <v>8.5708081722259521E-2</v>
      </c>
      <c r="E115">
        <v>0.13375501334667206</v>
      </c>
      <c r="F115">
        <f t="shared" si="1"/>
        <v>0.2079992094542531</v>
      </c>
      <c r="H115" s="232"/>
      <c r="I115" s="232"/>
    </row>
    <row r="116" spans="1:9">
      <c r="A116" t="s">
        <v>342</v>
      </c>
      <c r="B116" t="s">
        <v>188</v>
      </c>
      <c r="C116">
        <v>2016</v>
      </c>
      <c r="D116">
        <v>6.5593928098678589E-2</v>
      </c>
      <c r="E116">
        <v>7.7332079410552979E-2</v>
      </c>
      <c r="F116">
        <f t="shared" si="1"/>
        <v>0.13785349265265445</v>
      </c>
      <c r="H116" s="232"/>
      <c r="I116" s="232"/>
    </row>
    <row r="117" spans="1:9">
      <c r="A117" t="s">
        <v>343</v>
      </c>
      <c r="B117" t="s">
        <v>189</v>
      </c>
      <c r="C117">
        <v>2016</v>
      </c>
      <c r="D117">
        <v>4.4417999684810638E-2</v>
      </c>
      <c r="E117">
        <v>5.1131423562765121E-2</v>
      </c>
      <c r="F117">
        <f t="shared" si="1"/>
        <v>9.3278267691880967E-2</v>
      </c>
      <c r="H117" s="232"/>
      <c r="I117" s="232"/>
    </row>
    <row r="118" spans="1:9">
      <c r="A118" t="s">
        <v>344</v>
      </c>
      <c r="B118" t="s">
        <v>190</v>
      </c>
      <c r="C118">
        <v>2016</v>
      </c>
      <c r="D118">
        <v>9.5180884003639221E-2</v>
      </c>
      <c r="E118">
        <v>0.10855040699243546</v>
      </c>
      <c r="F118">
        <f t="shared" si="1"/>
        <v>0.19339936729957985</v>
      </c>
      <c r="H118" s="232"/>
      <c r="I118" s="232"/>
    </row>
    <row r="119" spans="1:9">
      <c r="A119" t="s">
        <v>345</v>
      </c>
      <c r="B119" t="s">
        <v>191</v>
      </c>
      <c r="C119">
        <v>2016</v>
      </c>
      <c r="D119">
        <v>0.11162560433149338</v>
      </c>
      <c r="E119">
        <v>0.12765467166900635</v>
      </c>
      <c r="F119">
        <f t="shared" si="1"/>
        <v>0.22503074612970853</v>
      </c>
      <c r="H119" s="232"/>
      <c r="I119" s="232"/>
    </row>
    <row r="120" spans="1:9">
      <c r="A120" t="s">
        <v>346</v>
      </c>
      <c r="B120" t="s">
        <v>192</v>
      </c>
      <c r="C120">
        <v>2016</v>
      </c>
      <c r="D120">
        <v>4.5785337686538696E-2</v>
      </c>
      <c r="E120">
        <v>8.2420952618122101E-2</v>
      </c>
      <c r="F120">
        <f t="shared" si="1"/>
        <v>0.12443261915659387</v>
      </c>
      <c r="H120" s="232"/>
      <c r="I120" s="232"/>
    </row>
    <row r="121" spans="1:9">
      <c r="A121" t="s">
        <v>347</v>
      </c>
      <c r="B121" t="s">
        <v>193</v>
      </c>
      <c r="C121">
        <v>2016</v>
      </c>
      <c r="D121">
        <v>7.9484984278678894E-2</v>
      </c>
      <c r="E121">
        <v>8.2043394446372986E-2</v>
      </c>
      <c r="F121">
        <f t="shared" si="1"/>
        <v>0.15500716080731247</v>
      </c>
      <c r="H121" s="232"/>
      <c r="I121" s="232"/>
    </row>
    <row r="122" spans="1:9">
      <c r="A122" t="s">
        <v>348</v>
      </c>
      <c r="B122" t="s">
        <v>194</v>
      </c>
      <c r="C122">
        <v>2016</v>
      </c>
      <c r="D122">
        <v>9.560684859752655E-2</v>
      </c>
      <c r="E122">
        <v>9.656873345375061E-2</v>
      </c>
      <c r="F122">
        <f t="shared" si="1"/>
        <v>0.18294294977270953</v>
      </c>
      <c r="H122" s="232"/>
      <c r="I122" s="232"/>
    </row>
    <row r="123" spans="1:9">
      <c r="A123" s="174" t="s">
        <v>415</v>
      </c>
      <c r="B123" t="s">
        <v>195</v>
      </c>
      <c r="C123">
        <v>2016</v>
      </c>
      <c r="D123">
        <v>0.11124981194734573</v>
      </c>
      <c r="E123">
        <v>0.10549121350049973</v>
      </c>
      <c r="F123">
        <f t="shared" si="1"/>
        <v>0.20500514778381751</v>
      </c>
      <c r="H123" s="232"/>
      <c r="I123" s="232"/>
    </row>
    <row r="124" spans="1:9">
      <c r="A124" t="s">
        <v>349</v>
      </c>
      <c r="B124" t="s">
        <v>196</v>
      </c>
      <c r="C124">
        <v>2016</v>
      </c>
      <c r="D124">
        <v>5.324384942650795E-2</v>
      </c>
      <c r="E124">
        <v>6.1493411660194397E-2</v>
      </c>
      <c r="F124">
        <f t="shared" si="1"/>
        <v>0.11146311513554474</v>
      </c>
      <c r="H124" s="232"/>
      <c r="I124" s="232"/>
    </row>
    <row r="125" spans="1:9">
      <c r="A125" t="s">
        <v>350</v>
      </c>
      <c r="B125" t="s">
        <v>197</v>
      </c>
      <c r="C125">
        <v>2016</v>
      </c>
      <c r="D125">
        <v>8.8372521102428436E-2</v>
      </c>
      <c r="E125">
        <v>0.10209381580352783</v>
      </c>
      <c r="F125">
        <f t="shared" si="1"/>
        <v>0.18144404901443156</v>
      </c>
      <c r="H125" s="232"/>
      <c r="I125" s="232"/>
    </row>
    <row r="126" spans="1:9">
      <c r="A126" t="s">
        <v>351</v>
      </c>
      <c r="B126" t="s">
        <v>198</v>
      </c>
      <c r="C126">
        <v>2016</v>
      </c>
      <c r="D126">
        <v>0.12293492257595062</v>
      </c>
      <c r="E126">
        <v>0.11333446949720383</v>
      </c>
      <c r="F126">
        <f t="shared" si="1"/>
        <v>0.22233662784032926</v>
      </c>
      <c r="H126" s="232"/>
      <c r="I126" s="232"/>
    </row>
    <row r="127" spans="1:9">
      <c r="A127" t="s">
        <v>352</v>
      </c>
      <c r="B127" t="s">
        <v>199</v>
      </c>
      <c r="C127">
        <v>2016</v>
      </c>
      <c r="D127">
        <v>4.8812210559844971E-2</v>
      </c>
      <c r="E127">
        <v>4.7061249613761902E-2</v>
      </c>
      <c r="F127">
        <f t="shared" si="1"/>
        <v>9.3576296548250504E-2</v>
      </c>
      <c r="H127" s="232"/>
      <c r="I127" s="232"/>
    </row>
    <row r="128" spans="1:9">
      <c r="A128" t="s">
        <v>353</v>
      </c>
      <c r="B128" t="s">
        <v>200</v>
      </c>
      <c r="C128">
        <v>2016</v>
      </c>
      <c r="D128">
        <v>0.10366355627775192</v>
      </c>
      <c r="E128">
        <v>0.11133462190628052</v>
      </c>
      <c r="F128">
        <f t="shared" si="1"/>
        <v>0.2034568353403885</v>
      </c>
      <c r="H128" s="232"/>
      <c r="I128" s="232"/>
    </row>
    <row r="129" spans="1:9">
      <c r="A129" t="s">
        <v>416</v>
      </c>
      <c r="B129" t="s">
        <v>201</v>
      </c>
      <c r="C129">
        <v>2016</v>
      </c>
      <c r="D129">
        <v>0.15341478586196899</v>
      </c>
      <c r="E129">
        <v>0.15997327864170074</v>
      </c>
      <c r="F129">
        <f t="shared" si="1"/>
        <v>0.28884579821721612</v>
      </c>
      <c r="H129" s="232"/>
      <c r="I129" s="232"/>
    </row>
    <row r="130" spans="1:9">
      <c r="A130" t="s">
        <v>354</v>
      </c>
      <c r="B130" t="s">
        <v>202</v>
      </c>
      <c r="C130">
        <v>2016</v>
      </c>
      <c r="D130">
        <v>4.0219295769929886E-2</v>
      </c>
      <c r="E130">
        <v>4.7686874866485596E-2</v>
      </c>
      <c r="F130">
        <f t="shared" si="1"/>
        <v>8.5988238111816662E-2</v>
      </c>
      <c r="H130" s="232"/>
      <c r="I130" s="232"/>
    </row>
    <row r="131" spans="1:9">
      <c r="A131" t="s">
        <v>355</v>
      </c>
      <c r="B131" t="s">
        <v>203</v>
      </c>
      <c r="C131">
        <v>2016</v>
      </c>
      <c r="D131">
        <v>8.1893466413021088E-2</v>
      </c>
      <c r="E131">
        <v>9.0337760746479034E-2</v>
      </c>
      <c r="F131">
        <f t="shared" ref="F131:F136" si="2">1-(1-D131)*(1-E131)</f>
        <v>0.16483315478398075</v>
      </c>
      <c r="H131" s="232"/>
      <c r="I131" s="232"/>
    </row>
    <row r="132" spans="1:9">
      <c r="A132" t="s">
        <v>356</v>
      </c>
      <c r="B132" t="s">
        <v>204</v>
      </c>
      <c r="C132">
        <v>2016</v>
      </c>
      <c r="D132">
        <v>7.6702527701854706E-2</v>
      </c>
      <c r="E132">
        <v>8.0543592572212219E-2</v>
      </c>
      <c r="F132">
        <f t="shared" si="2"/>
        <v>0.15106822313358992</v>
      </c>
      <c r="H132" s="232"/>
      <c r="I132" s="232"/>
    </row>
    <row r="133" spans="1:9">
      <c r="A133" t="s">
        <v>357</v>
      </c>
      <c r="B133" t="s">
        <v>205</v>
      </c>
      <c r="C133">
        <v>2016</v>
      </c>
      <c r="D133">
        <v>7.176072895526886E-2</v>
      </c>
      <c r="E133">
        <v>0.108668252825737</v>
      </c>
      <c r="F133">
        <f t="shared" si="2"/>
        <v>0.17263086874393552</v>
      </c>
      <c r="H133" s="232"/>
      <c r="I133" s="232"/>
    </row>
    <row r="134" spans="1:9">
      <c r="A134" t="s">
        <v>358</v>
      </c>
      <c r="B134" t="s">
        <v>206</v>
      </c>
      <c r="C134">
        <v>2016</v>
      </c>
      <c r="D134">
        <v>8.7222933769226074E-2</v>
      </c>
      <c r="E134">
        <v>9.4251945614814758E-2</v>
      </c>
      <c r="F134">
        <f t="shared" si="2"/>
        <v>0.17325394817405915</v>
      </c>
      <c r="I134" s="232"/>
    </row>
    <row r="135" spans="1:9">
      <c r="A135" t="s">
        <v>359</v>
      </c>
      <c r="B135" t="s">
        <v>207</v>
      </c>
      <c r="C135">
        <v>2016</v>
      </c>
      <c r="D135">
        <v>8.0258280038833618E-2</v>
      </c>
      <c r="E135">
        <v>9.5909446477890015E-2</v>
      </c>
      <c r="F135">
        <f t="shared" si="2"/>
        <v>0.16847019930293161</v>
      </c>
      <c r="I135" s="232"/>
    </row>
    <row r="136" spans="1:9">
      <c r="A136" t="s">
        <v>360</v>
      </c>
      <c r="B136" t="s">
        <v>208</v>
      </c>
      <c r="C136">
        <v>2016</v>
      </c>
      <c r="D136">
        <v>7.5391829013824463E-2</v>
      </c>
      <c r="E136">
        <v>8.248564600944519E-2</v>
      </c>
      <c r="F136">
        <f t="shared" si="2"/>
        <v>0.15165873130323071</v>
      </c>
      <c r="I136" s="232"/>
    </row>
    <row r="137" spans="1:9">
      <c r="I137" s="232"/>
    </row>
    <row r="138" spans="1:9">
      <c r="I138" s="232"/>
    </row>
    <row r="139" spans="1:9">
      <c r="I139" s="232"/>
    </row>
    <row r="140" spans="1:9">
      <c r="I140" s="232"/>
    </row>
    <row r="141" spans="1:9">
      <c r="I141" s="232"/>
    </row>
    <row r="142" spans="1:9">
      <c r="I142" s="232"/>
    </row>
    <row r="143" spans="1:9">
      <c r="I143" s="232"/>
    </row>
    <row r="144" spans="1:9">
      <c r="I144" s="232"/>
    </row>
    <row r="145" spans="9:9">
      <c r="I145" s="232"/>
    </row>
    <row r="146" spans="9:9">
      <c r="I146" s="232"/>
    </row>
    <row r="147" spans="9:9">
      <c r="I147" s="232"/>
    </row>
    <row r="148" spans="9:9">
      <c r="I148" s="232"/>
    </row>
    <row r="149" spans="9:9">
      <c r="I149" s="232"/>
    </row>
    <row r="150" spans="9:9">
      <c r="I150" s="232"/>
    </row>
    <row r="151" spans="9:9">
      <c r="I151" s="232"/>
    </row>
    <row r="152" spans="9:9">
      <c r="I152" s="232"/>
    </row>
    <row r="153" spans="9:9">
      <c r="I153" s="232"/>
    </row>
    <row r="154" spans="9:9">
      <c r="I154" s="232"/>
    </row>
    <row r="155" spans="9:9">
      <c r="I155" s="232"/>
    </row>
    <row r="156" spans="9:9">
      <c r="I156" s="232"/>
    </row>
    <row r="157" spans="9:9">
      <c r="I157" s="232"/>
    </row>
    <row r="158" spans="9:9">
      <c r="I158" s="232"/>
    </row>
    <row r="159" spans="9:9">
      <c r="I159" s="232"/>
    </row>
    <row r="160" spans="9:9">
      <c r="I160" s="232"/>
    </row>
    <row r="161" spans="9:9">
      <c r="I161" s="232"/>
    </row>
    <row r="162" spans="9:9">
      <c r="I162" s="232"/>
    </row>
    <row r="163" spans="9:9">
      <c r="I163" s="232"/>
    </row>
    <row r="164" spans="9:9">
      <c r="I164" s="232"/>
    </row>
    <row r="165" spans="9:9">
      <c r="I165" s="232"/>
    </row>
    <row r="166" spans="9:9">
      <c r="I166" s="232"/>
    </row>
    <row r="167" spans="9:9">
      <c r="I167" s="232"/>
    </row>
    <row r="168" spans="9:9">
      <c r="I168" s="232"/>
    </row>
    <row r="169" spans="9:9">
      <c r="I169" s="232"/>
    </row>
    <row r="170" spans="9:9">
      <c r="I170" s="232"/>
    </row>
    <row r="171" spans="9:9">
      <c r="I171" s="232"/>
    </row>
    <row r="172" spans="9:9">
      <c r="I172" s="232"/>
    </row>
    <row r="173" spans="9:9">
      <c r="I173" s="232"/>
    </row>
    <row r="174" spans="9:9">
      <c r="I174" s="232"/>
    </row>
    <row r="175" spans="9:9">
      <c r="I175" s="232"/>
    </row>
    <row r="176" spans="9:9">
      <c r="I176" s="232"/>
    </row>
    <row r="177" spans="9:9">
      <c r="I177" s="232"/>
    </row>
    <row r="178" spans="9:9">
      <c r="I178" s="232"/>
    </row>
    <row r="179" spans="9:9">
      <c r="I179" s="232"/>
    </row>
    <row r="180" spans="9:9">
      <c r="I180" s="232"/>
    </row>
    <row r="181" spans="9:9">
      <c r="I181" s="232"/>
    </row>
    <row r="182" spans="9:9">
      <c r="I182" s="232"/>
    </row>
    <row r="183" spans="9:9">
      <c r="I183" s="232"/>
    </row>
    <row r="184" spans="9:9">
      <c r="I184" s="232"/>
    </row>
  </sheetData>
  <sheetProtection algorithmName="SHA-512" hashValue="DTDO79D6F6MFnbwbnqQEMTUPS356qTq/yfMz+zaopVqrEEtvN/lgVw6XeF/VfFYa//cP68E3vUxdMq0Nc6hYwQ==" saltValue="NW8WmBGlLvZOBVh/X6K03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1A33D3A2C42E4DAD3515C188FC0129" ma:contentTypeVersion="13" ma:contentTypeDescription="Create a new document." ma:contentTypeScope="" ma:versionID="1b7305663b497bb9a120705ffe67a208">
  <xsd:schema xmlns:xsd="http://www.w3.org/2001/XMLSchema" xmlns:xs="http://www.w3.org/2001/XMLSchema" xmlns:p="http://schemas.microsoft.com/office/2006/metadata/properties" xmlns:ns3="8732c1d6-e338-4a61-aa3b-76b64e2d8dc0" xmlns:ns4="707aa7d2-5998-4bba-a10d-3ad5b2fbbf64" targetNamespace="http://schemas.microsoft.com/office/2006/metadata/properties" ma:root="true" ma:fieldsID="a3c1dd159819cc6ae737709ec53f2fdb" ns3:_="" ns4:_="">
    <xsd:import namespace="8732c1d6-e338-4a61-aa3b-76b64e2d8dc0"/>
    <xsd:import namespace="707aa7d2-5998-4bba-a10d-3ad5b2fbbf6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AutoKeyPoints" minOccurs="0"/>
                <xsd:element ref="ns3:MediaServiceKeyPoints"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32c1d6-e338-4a61-aa3b-76b64e2d8d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7aa7d2-5998-4bba-a10d-3ad5b2fbbf6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B4F397-A38A-494C-B99E-05C0EF2D18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32c1d6-e338-4a61-aa3b-76b64e2d8dc0"/>
    <ds:schemaRef ds:uri="707aa7d2-5998-4bba-a10d-3ad5b2fbbf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CC2F4A-779E-450A-8A9D-EA8507F130DF}">
  <ds:schemaRefs>
    <ds:schemaRef ds:uri="http://schemas.microsoft.com/sharepoint/v3/contenttype/forms"/>
  </ds:schemaRefs>
</ds:datastoreItem>
</file>

<file path=customXml/itemProps3.xml><?xml version="1.0" encoding="utf-8"?>
<ds:datastoreItem xmlns:ds="http://schemas.openxmlformats.org/officeDocument/2006/customXml" ds:itemID="{A451C9C0-BD59-4663-A19A-A224A7EED49B}">
  <ds:schemaRefs>
    <ds:schemaRef ds:uri="http://schemas.microsoft.com/office/infopath/2007/PartnerControls"/>
    <ds:schemaRef ds:uri="http://purl.org/dc/terms/"/>
    <ds:schemaRef ds:uri="8732c1d6-e338-4a61-aa3b-76b64e2d8dc0"/>
    <ds:schemaRef ds:uri="http://schemas.microsoft.com/office/2006/documentManagement/types"/>
    <ds:schemaRef ds:uri="http://purl.org/dc/elements/1.1/"/>
    <ds:schemaRef ds:uri="http://schemas.openxmlformats.org/package/2006/metadata/core-properties"/>
    <ds:schemaRef ds:uri="707aa7d2-5998-4bba-a10d-3ad5b2fbbf64"/>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145</vt:i4>
      </vt:variant>
    </vt:vector>
  </HeadingPairs>
  <TitlesOfParts>
    <vt:vector size="152" baseType="lpstr">
      <vt:lpstr>Cover note</vt:lpstr>
      <vt:lpstr>Scenario SDG</vt:lpstr>
      <vt:lpstr>Scenario ALT</vt:lpstr>
      <vt:lpstr>Difference</vt:lpstr>
      <vt:lpstr>Exposures</vt:lpstr>
      <vt:lpstr>Population and GHE</vt:lpstr>
      <vt:lpstr>Nutrition PAF</vt:lpstr>
      <vt:lpstr>Afghanistan</vt:lpstr>
      <vt:lpstr>Albania</vt:lpstr>
      <vt:lpstr>Algeria</vt:lpstr>
      <vt:lpstr>Angola</vt:lpstr>
      <vt:lpstr>Argentina</vt:lpstr>
      <vt:lpstr>Armenia</vt:lpstr>
      <vt:lpstr>Azerbaijan</vt:lpstr>
      <vt:lpstr>Bangladesh</vt:lpstr>
      <vt:lpstr>Belarus</vt:lpstr>
      <vt:lpstr>Belize</vt:lpstr>
      <vt:lpstr>Benin</vt:lpstr>
      <vt:lpstr>Bhutan</vt:lpstr>
      <vt:lpstr>Bolivia__Plurinational_States_of</vt:lpstr>
      <vt:lpstr>Bosnia_and_Herzegovina</vt:lpstr>
      <vt:lpstr>Botswana</vt:lpstr>
      <vt:lpstr>Brazil</vt:lpstr>
      <vt:lpstr>Bulgaria</vt:lpstr>
      <vt:lpstr>Burkina_Faso</vt:lpstr>
      <vt:lpstr>Burundi</vt:lpstr>
      <vt:lpstr>Cambodia</vt:lpstr>
      <vt:lpstr>Cameroon</vt:lpstr>
      <vt:lpstr>Cape_Verde</vt:lpstr>
      <vt:lpstr>Central_African_Republic</vt:lpstr>
      <vt:lpstr>Chad</vt:lpstr>
      <vt:lpstr>China</vt:lpstr>
      <vt:lpstr>Colombia</vt:lpstr>
      <vt:lpstr>combined_nut_PAF</vt:lpstr>
      <vt:lpstr>Comoros</vt:lpstr>
      <vt:lpstr>Congo</vt:lpstr>
      <vt:lpstr>Costa_Rica</vt:lpstr>
      <vt:lpstr>Cote_d_Ivoire</vt:lpstr>
      <vt:lpstr>country</vt:lpstr>
      <vt:lpstr>Cuba</vt:lpstr>
      <vt:lpstr>Democratic_People_s_Republic_of_Korea</vt:lpstr>
      <vt:lpstr>Democratic_Republic_of_the_Congo</vt:lpstr>
      <vt:lpstr>Djibouti</vt:lpstr>
      <vt:lpstr>Dominica</vt:lpstr>
      <vt:lpstr>Dominican_Republic</vt:lpstr>
      <vt:lpstr>Ecuador</vt:lpstr>
      <vt:lpstr>Egypt</vt:lpstr>
      <vt:lpstr>El_Salvador</vt:lpstr>
      <vt:lpstr>Equatorial_Guinea</vt:lpstr>
      <vt:lpstr>Eritrea</vt:lpstr>
      <vt:lpstr>Eswatini</vt:lpstr>
      <vt:lpstr>Ethiopia</vt:lpstr>
      <vt:lpstr>Exposures</vt:lpstr>
      <vt:lpstr>Fiji</vt:lpstr>
      <vt:lpstr>Gabon</vt:lpstr>
      <vt:lpstr>Gambia</vt:lpstr>
      <vt:lpstr>Georgia</vt:lpstr>
      <vt:lpstr>Ghana</vt:lpstr>
      <vt:lpstr>GHE</vt:lpstr>
      <vt:lpstr>Grenada</vt:lpstr>
      <vt:lpstr>Guatemala</vt:lpstr>
      <vt:lpstr>Guinea</vt:lpstr>
      <vt:lpstr>Guinea_Bissau</vt:lpstr>
      <vt:lpstr>Guyana</vt:lpstr>
      <vt:lpstr>Haiti</vt:lpstr>
      <vt:lpstr>Honduras</vt:lpstr>
      <vt:lpstr>India</vt:lpstr>
      <vt:lpstr>Indonesia</vt:lpstr>
      <vt:lpstr>Iran__Islamic_Republic_of</vt:lpstr>
      <vt:lpstr>Iraq</vt:lpstr>
      <vt:lpstr>iso3_</vt:lpstr>
      <vt:lpstr>Jamaica</vt:lpstr>
      <vt:lpstr>Jordan</vt:lpstr>
      <vt:lpstr>Kazakhstan</vt:lpstr>
      <vt:lpstr>Kenya</vt:lpstr>
      <vt:lpstr>Kiribati</vt:lpstr>
      <vt:lpstr>Kyrgyzstan</vt:lpstr>
      <vt:lpstr>Lao_People_s_Democratic_Republic</vt:lpstr>
      <vt:lpstr>Lebanon</vt:lpstr>
      <vt:lpstr>Lesotho</vt:lpstr>
      <vt:lpstr>Liberia</vt:lpstr>
      <vt:lpstr>Libyan_Arab_Jamahiriya</vt:lpstr>
      <vt:lpstr>Madagascar</vt:lpstr>
      <vt:lpstr>Malawi</vt:lpstr>
      <vt:lpstr>Malaysia</vt:lpstr>
      <vt:lpstr>Maldives</vt:lpstr>
      <vt:lpstr>Mali</vt:lpstr>
      <vt:lpstr>Marshall_Islands</vt:lpstr>
      <vt:lpstr>Mauritania</vt:lpstr>
      <vt:lpstr>Mauritius</vt:lpstr>
      <vt:lpstr>Mexico</vt:lpstr>
      <vt:lpstr>Micronesia__Federated_States_of</vt:lpstr>
      <vt:lpstr>Mongolia</vt:lpstr>
      <vt:lpstr>Montenegro</vt:lpstr>
      <vt:lpstr>Morocco</vt:lpstr>
      <vt:lpstr>Mozambique</vt:lpstr>
      <vt:lpstr>Myanmar</vt:lpstr>
      <vt:lpstr>Namibia</vt:lpstr>
      <vt:lpstr>Nepal</vt:lpstr>
      <vt:lpstr>Nicaragua</vt:lpstr>
      <vt:lpstr>Niger</vt:lpstr>
      <vt:lpstr>Nigeria</vt:lpstr>
      <vt:lpstr>PAF_Nutrition_from_diarrhoa</vt:lpstr>
      <vt:lpstr>PAF_nutrition_from_diarrhoea</vt:lpstr>
      <vt:lpstr>paf_waz_diar_mean</vt:lpstr>
      <vt:lpstr>paf_whz_diar_mean</vt:lpstr>
      <vt:lpstr>Pakistan</vt:lpstr>
      <vt:lpstr>Palestine</vt:lpstr>
      <vt:lpstr>Panama</vt:lpstr>
      <vt:lpstr>Papua_New_Guinea</vt:lpstr>
      <vt:lpstr>Paraguay</vt:lpstr>
      <vt:lpstr>Peru</vt:lpstr>
      <vt:lpstr>Philippines</vt:lpstr>
      <vt:lpstr>Republic_of_Moldova</vt:lpstr>
      <vt:lpstr>Romania</vt:lpstr>
      <vt:lpstr>Russian_Federation</vt:lpstr>
      <vt:lpstr>Rwanda</vt:lpstr>
      <vt:lpstr>Saint_Lucia</vt:lpstr>
      <vt:lpstr>Saint_Vincent_and_the_Grenadines</vt:lpstr>
      <vt:lpstr>Samoa</vt:lpstr>
      <vt:lpstr>Sao_Tome_and_Principe</vt:lpstr>
      <vt:lpstr>Senegal</vt:lpstr>
      <vt:lpstr>Serbia</vt:lpstr>
      <vt:lpstr>Sierra_Leone</vt:lpstr>
      <vt:lpstr>Solomon_Islands</vt:lpstr>
      <vt:lpstr>Somalia</vt:lpstr>
      <vt:lpstr>South_Africa</vt:lpstr>
      <vt:lpstr>South_Sudan</vt:lpstr>
      <vt:lpstr>Sri_Lanka</vt:lpstr>
      <vt:lpstr>Sudan</vt:lpstr>
      <vt:lpstr>Suriname</vt:lpstr>
      <vt:lpstr>Syrian_Arab_Republic</vt:lpstr>
      <vt:lpstr>Tajikistan</vt:lpstr>
      <vt:lpstr>Thailand</vt:lpstr>
      <vt:lpstr>The_former_Yugoslav_Republic_of_Macedonia</vt:lpstr>
      <vt:lpstr>Timor_Leste</vt:lpstr>
      <vt:lpstr>Togo</vt:lpstr>
      <vt:lpstr>Tonga</vt:lpstr>
      <vt:lpstr>Tunisia</vt:lpstr>
      <vt:lpstr>Türkiye</vt:lpstr>
      <vt:lpstr>Turkmenistan</vt:lpstr>
      <vt:lpstr>Uganda</vt:lpstr>
      <vt:lpstr>Ukraine</vt:lpstr>
      <vt:lpstr>United_Republic_of_Tanzania</vt:lpstr>
      <vt:lpstr>Uzbekistan</vt:lpstr>
      <vt:lpstr>Vanuatu</vt:lpstr>
      <vt:lpstr>Venezuela__Bolivarian_Republic_of</vt:lpstr>
      <vt:lpstr>Viet_Nam</vt:lpstr>
      <vt:lpstr>year</vt:lpstr>
      <vt:lpstr>Yemen</vt:lpstr>
      <vt:lpstr>Zambia</vt:lpstr>
      <vt:lpstr>Zimbabwe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BOISSON, Sophie</dc:creator>
  <cp:lastModifiedBy>BOISSON, Sophie</cp:lastModifiedBy>
  <cp:lastPrinted>2022-08-26T14:56:06Z</cp:lastPrinted>
  <dcterms:created xsi:type="dcterms:W3CDTF">2022-08-24T12:43:15Z</dcterms:created>
  <dcterms:modified xsi:type="dcterms:W3CDTF">2023-07-11T13:59:27Z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0x0101003E1A33D3A2C42E4DAD3515C188FC0129</vt:lpwstr>
  </property>
</Properties>
</file>