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domingueze\OneDrive - World Health Organization\Desktop\ADQ design\Final annexes\"/>
    </mc:Choice>
  </mc:AlternateContent>
  <xr:revisionPtr revIDLastSave="0" documentId="10_ncr:100000_{4451DE15-92E8-4EE8-B08C-92F6D3A28643}" xr6:coauthVersionLast="31" xr6:coauthVersionMax="31" xr10:uidLastSave="{00000000-0000-0000-0000-000000000000}"/>
  <bookViews>
    <workbookView xWindow="480" yWindow="240" windowWidth="25320" windowHeight="14250" activeTab="2" xr2:uid="{00000000-000D-0000-FFFF-FFFF00000000}"/>
  </bookViews>
  <sheets>
    <sheet name="Stunting" sheetId="1" r:id="rId1"/>
    <sheet name="Overweight" sheetId="6" r:id="rId2"/>
    <sheet name="Wasting" sheetId="5" r:id="rId3"/>
    <sheet name="Glossary and technical notes" sheetId="2" r:id="rId4"/>
  </sheets>
  <definedNames>
    <definedName name="stunting" localSheetId="1">Overweight!$H$9:$H$22</definedName>
    <definedName name="stunting" localSheetId="2">Wasting!$H$9:$H$22</definedName>
    <definedName name="stunting">Stunting!$H$9:$H$22</definedName>
    <definedName name="year1" localSheetId="1">Overweight!$G$9:$G$22</definedName>
    <definedName name="year1" localSheetId="2">Wasting!$G$9:$G$22</definedName>
    <definedName name="year1">Stunting!$G$9:$G$22</definedName>
  </definedNames>
  <calcPr calcId="179017"/>
</workbook>
</file>

<file path=xl/calcChain.xml><?xml version="1.0" encoding="utf-8"?>
<calcChain xmlns="http://schemas.openxmlformats.org/spreadsheetml/2006/main">
  <c r="B31" i="5" l="1" a="1"/>
  <c r="B31" i="5" s="1"/>
  <c r="B31" i="6" a="1"/>
  <c r="B31" i="6" s="1"/>
  <c r="B31" i="1" a="1"/>
  <c r="B31" i="1" s="1"/>
  <c r="A37" i="6" l="1" a="1"/>
  <c r="A37" i="6" s="1"/>
  <c r="A31" i="6"/>
  <c r="H22" i="6"/>
  <c r="I22" i="6" s="1"/>
  <c r="G22" i="6"/>
  <c r="H21" i="6"/>
  <c r="I21" i="6" s="1"/>
  <c r="G21" i="6"/>
  <c r="H20" i="6"/>
  <c r="I20" i="6" s="1"/>
  <c r="G20" i="6"/>
  <c r="H19" i="6"/>
  <c r="I19" i="6" s="1"/>
  <c r="G19" i="6"/>
  <c r="H18" i="6"/>
  <c r="I18" i="6" s="1"/>
  <c r="G18" i="6"/>
  <c r="H17" i="6"/>
  <c r="I17" i="6" s="1"/>
  <c r="G17" i="6"/>
  <c r="H16" i="6"/>
  <c r="I16" i="6" s="1"/>
  <c r="G16" i="6"/>
  <c r="H15" i="6"/>
  <c r="I15" i="6" s="1"/>
  <c r="G15" i="6"/>
  <c r="H14" i="6"/>
  <c r="I14" i="6" s="1"/>
  <c r="G14" i="6"/>
  <c r="H13" i="6"/>
  <c r="I13" i="6" s="1"/>
  <c r="G13" i="6"/>
  <c r="H12" i="6"/>
  <c r="I12" i="6" s="1"/>
  <c r="G12" i="6"/>
  <c r="H11" i="6"/>
  <c r="I11" i="6" s="1"/>
  <c r="G11" i="6"/>
  <c r="H10" i="6"/>
  <c r="I10" i="6" s="1"/>
  <c r="G10" i="6"/>
  <c r="H9" i="6"/>
  <c r="I9" i="6" s="1"/>
  <c r="G9" i="6"/>
  <c r="B26" i="6" l="1"/>
  <c r="D31" i="6" a="1"/>
  <c r="D31" i="6" s="1"/>
  <c r="C31" i="6" a="1"/>
  <c r="C31" i="6" s="1"/>
  <c r="L43" i="6" a="1"/>
  <c r="L43" i="6" s="1"/>
  <c r="K43" i="6"/>
  <c r="C37" i="6" a="1"/>
  <c r="C37" i="6" s="1"/>
  <c r="F37" i="6" s="1"/>
  <c r="G37" i="6" s="1"/>
  <c r="L47" i="6" a="1"/>
  <c r="L47" i="6" s="1"/>
  <c r="K47" i="6"/>
  <c r="K48" i="6" s="1"/>
  <c r="L31" i="5"/>
  <c r="H31" i="5"/>
  <c r="K31" i="1" a="1"/>
  <c r="K31" i="1" s="1"/>
  <c r="L48" i="6" l="1"/>
  <c r="J31" i="6"/>
  <c r="F31" i="6"/>
  <c r="N47" i="6"/>
  <c r="N48" i="6" s="1"/>
  <c r="M47" i="6"/>
  <c r="E31" i="6"/>
  <c r="H37" i="6"/>
  <c r="K49" i="6"/>
  <c r="A31" i="5"/>
  <c r="H22" i="5"/>
  <c r="I22" i="5" s="1"/>
  <c r="G22" i="5"/>
  <c r="H21" i="5"/>
  <c r="I21" i="5" s="1"/>
  <c r="G21" i="5"/>
  <c r="H20" i="5"/>
  <c r="I20" i="5" s="1"/>
  <c r="G20" i="5"/>
  <c r="H19" i="5"/>
  <c r="I19" i="5" s="1"/>
  <c r="G19" i="5"/>
  <c r="H18" i="5"/>
  <c r="I18" i="5" s="1"/>
  <c r="G18" i="5"/>
  <c r="H17" i="5"/>
  <c r="I17" i="5" s="1"/>
  <c r="G17" i="5"/>
  <c r="H16" i="5"/>
  <c r="I16" i="5" s="1"/>
  <c r="G16" i="5"/>
  <c r="H15" i="5"/>
  <c r="I15" i="5" s="1"/>
  <c r="G15" i="5"/>
  <c r="H14" i="5"/>
  <c r="I14" i="5" s="1"/>
  <c r="G14" i="5"/>
  <c r="H13" i="5"/>
  <c r="I13" i="5" s="1"/>
  <c r="G13" i="5"/>
  <c r="H12" i="5"/>
  <c r="I12" i="5" s="1"/>
  <c r="G12" i="5"/>
  <c r="H11" i="5"/>
  <c r="I11" i="5" s="1"/>
  <c r="G11" i="5"/>
  <c r="H10" i="5"/>
  <c r="I10" i="5" s="1"/>
  <c r="G10" i="5"/>
  <c r="H9" i="5"/>
  <c r="I9" i="5" s="1"/>
  <c r="G9" i="5"/>
  <c r="H17" i="1"/>
  <c r="I17" i="1" s="1"/>
  <c r="H18" i="1"/>
  <c r="I18" i="1" s="1"/>
  <c r="H19" i="1"/>
  <c r="I19" i="1" s="1"/>
  <c r="H20" i="1"/>
  <c r="I20" i="1" s="1"/>
  <c r="H21" i="1"/>
  <c r="I21" i="1" s="1"/>
  <c r="H22" i="1"/>
  <c r="I22" i="1" s="1"/>
  <c r="G17" i="1"/>
  <c r="G18" i="1"/>
  <c r="G19" i="1"/>
  <c r="G20" i="1"/>
  <c r="G21" i="1"/>
  <c r="G22" i="1"/>
  <c r="H9" i="1"/>
  <c r="I9" i="1" s="1"/>
  <c r="H10" i="1"/>
  <c r="I10" i="1" s="1"/>
  <c r="H11" i="1"/>
  <c r="I11" i="1" s="1"/>
  <c r="H12" i="1"/>
  <c r="I12" i="1" s="1"/>
  <c r="H13" i="1"/>
  <c r="I13" i="1" s="1"/>
  <c r="H14" i="1"/>
  <c r="I14" i="1" s="1"/>
  <c r="H15" i="1"/>
  <c r="I15" i="1" s="1"/>
  <c r="G9" i="1"/>
  <c r="G10" i="1"/>
  <c r="G11" i="1"/>
  <c r="G12" i="1"/>
  <c r="G13" i="1"/>
  <c r="G14" i="1"/>
  <c r="G15" i="1"/>
  <c r="B26" i="5" l="1"/>
  <c r="N49" i="6"/>
  <c r="L49" i="6"/>
  <c r="I31" i="6"/>
  <c r="D37" i="6"/>
  <c r="H31" i="6"/>
  <c r="M43" i="6"/>
  <c r="M48" i="6" s="1"/>
  <c r="M49" i="6" s="1"/>
  <c r="M50" i="6" s="1"/>
  <c r="M31" i="6"/>
  <c r="N43" i="6"/>
  <c r="L31" i="6"/>
  <c r="K50" i="6"/>
  <c r="L50" i="6" s="1"/>
  <c r="C31" i="5" a="1"/>
  <c r="C31" i="5" s="1"/>
  <c r="D31" i="5" a="1"/>
  <c r="D31" i="5" s="1"/>
  <c r="N50" i="6" l="1"/>
  <c r="K51" i="6"/>
  <c r="L51" i="6" s="1"/>
  <c r="M31" i="5"/>
  <c r="I31" i="5"/>
  <c r="E31" i="5"/>
  <c r="M51" i="6" l="1"/>
  <c r="N51" i="6"/>
  <c r="K52" i="6"/>
  <c r="L52" i="6" s="1"/>
  <c r="M52" i="6" l="1"/>
  <c r="N52" i="6"/>
  <c r="N53" i="6" s="1"/>
  <c r="K53" i="6"/>
  <c r="L53" i="6" s="1"/>
  <c r="M53" i="6" l="1"/>
  <c r="K54" i="6"/>
  <c r="L54" i="6" s="1"/>
  <c r="A37" i="1" a="1"/>
  <c r="A37" i="1" s="1"/>
  <c r="K43" i="1" s="1"/>
  <c r="D31" i="1" a="1"/>
  <c r="D31" i="1" s="1"/>
  <c r="A31" i="1"/>
  <c r="H16" i="1"/>
  <c r="I16" i="1" s="1"/>
  <c r="G16" i="1"/>
  <c r="N54" i="6" l="1"/>
  <c r="M54" i="6"/>
  <c r="K55" i="6"/>
  <c r="L55" i="6" s="1"/>
  <c r="K47" i="1"/>
  <c r="K48" i="1" s="1"/>
  <c r="L43" i="1" a="1"/>
  <c r="L43" i="1" s="1"/>
  <c r="L47" i="1" a="1"/>
  <c r="L47" i="1" s="1"/>
  <c r="C31" i="1" a="1"/>
  <c r="C31" i="1" s="1"/>
  <c r="F31" i="1"/>
  <c r="B26" i="1"/>
  <c r="N55" i="6" l="1"/>
  <c r="M55" i="6"/>
  <c r="K49" i="1"/>
  <c r="N48" i="1"/>
  <c r="L48" i="1"/>
  <c r="K56" i="6"/>
  <c r="L56" i="6" s="1"/>
  <c r="N47" i="1"/>
  <c r="M47" i="1"/>
  <c r="C37" i="1" a="1"/>
  <c r="C37" i="1" s="1"/>
  <c r="F37" i="1" s="1"/>
  <c r="G37" i="1" s="1"/>
  <c r="K50" i="1" l="1"/>
  <c r="K51" i="1" s="1"/>
  <c r="K52" i="1" s="1"/>
  <c r="K53" i="1" s="1"/>
  <c r="K54" i="1" s="1"/>
  <c r="K55" i="1" s="1"/>
  <c r="K56" i="1" s="1"/>
  <c r="K57" i="1" s="1"/>
  <c r="K58" i="1" s="1"/>
  <c r="K59" i="1" s="1"/>
  <c r="K60" i="1" s="1"/>
  <c r="K61" i="1" s="1"/>
  <c r="K62" i="1" s="1"/>
  <c r="K63" i="1" s="1"/>
  <c r="K64" i="1" s="1"/>
  <c r="L49" i="1"/>
  <c r="L50" i="1" s="1"/>
  <c r="L51" i="1" s="1"/>
  <c r="L52" i="1" s="1"/>
  <c r="L53" i="1" s="1"/>
  <c r="L54" i="1" s="1"/>
  <c r="L55" i="1" s="1"/>
  <c r="L56" i="1" s="1"/>
  <c r="L57" i="1" s="1"/>
  <c r="L58" i="1" s="1"/>
  <c r="L59" i="1" s="1"/>
  <c r="L60" i="1" s="1"/>
  <c r="L61" i="1" s="1"/>
  <c r="L62" i="1" s="1"/>
  <c r="L63" i="1" s="1"/>
  <c r="N49" i="1"/>
  <c r="N50" i="1" s="1"/>
  <c r="N51" i="1" s="1"/>
  <c r="N52" i="1" s="1"/>
  <c r="N53" i="1" s="1"/>
  <c r="N54" i="1" s="1"/>
  <c r="N55" i="1" s="1"/>
  <c r="N56" i="1" s="1"/>
  <c r="N57" i="1" s="1"/>
  <c r="N58" i="1" s="1"/>
  <c r="N59" i="1" s="1"/>
  <c r="N60" i="1" s="1"/>
  <c r="N61" i="1" s="1"/>
  <c r="N62" i="1" s="1"/>
  <c r="N63" i="1" s="1"/>
  <c r="N64" i="1" s="1"/>
  <c r="M56" i="6"/>
  <c r="M57" i="6" s="1"/>
  <c r="N56" i="6"/>
  <c r="K57" i="6"/>
  <c r="L57" i="6" s="1"/>
  <c r="E31" i="1"/>
  <c r="N57" i="6" l="1"/>
  <c r="K65" i="1"/>
  <c r="K66" i="1" s="1"/>
  <c r="K67" i="1" s="1"/>
  <c r="K68" i="1" s="1"/>
  <c r="L64" i="1"/>
  <c r="L65" i="1" s="1"/>
  <c r="L66" i="1" s="1"/>
  <c r="L67" i="1" s="1"/>
  <c r="L68" i="1" s="1"/>
  <c r="H37" i="1"/>
  <c r="L31" i="1"/>
  <c r="N31" i="1" s="1"/>
  <c r="N43" i="1" s="1"/>
  <c r="M64" i="1" s="1"/>
  <c r="K58" i="6"/>
  <c r="L58" i="6" s="1"/>
  <c r="G31" i="1"/>
  <c r="I31" i="1" s="1"/>
  <c r="N65" i="1" l="1"/>
  <c r="N66" i="1" s="1"/>
  <c r="N67" i="1" s="1"/>
  <c r="N68" i="1" s="1"/>
  <c r="N58" i="6"/>
  <c r="M58" i="6"/>
  <c r="M43" i="1"/>
  <c r="M48" i="1" s="1"/>
  <c r="D37" i="1"/>
  <c r="J31" i="1"/>
  <c r="K59" i="6"/>
  <c r="L59" i="6" s="1"/>
  <c r="N59" i="6" l="1"/>
  <c r="M59" i="6"/>
  <c r="M49" i="1"/>
  <c r="M65" i="1"/>
  <c r="K60" i="6"/>
  <c r="L60" i="6" s="1"/>
  <c r="M60" i="6" l="1"/>
  <c r="N60" i="6"/>
  <c r="M50" i="1"/>
  <c r="M66" i="1"/>
  <c r="O31" i="1"/>
  <c r="K61" i="6"/>
  <c r="L61" i="6" s="1"/>
  <c r="N61" i="6" l="1"/>
  <c r="M61" i="6"/>
  <c r="M62" i="6" s="1"/>
  <c r="M51" i="1"/>
  <c r="M67" i="1"/>
  <c r="K62" i="6"/>
  <c r="L62" i="6" s="1"/>
  <c r="K69" i="1"/>
  <c r="N62" i="6" l="1"/>
  <c r="M52" i="1"/>
  <c r="M53" i="1" s="1"/>
  <c r="M54" i="1" s="1"/>
  <c r="M55" i="1" s="1"/>
  <c r="M56" i="1" s="1"/>
  <c r="M57" i="1" s="1"/>
  <c r="M58" i="1" s="1"/>
  <c r="M59" i="1" s="1"/>
  <c r="M60" i="1" s="1"/>
  <c r="M61" i="1" s="1"/>
  <c r="M62" i="1" s="1"/>
  <c r="M63" i="1" s="1"/>
  <c r="M68" i="1"/>
  <c r="K63" i="6"/>
  <c r="L63" i="6" s="1"/>
  <c r="N69" i="1"/>
  <c r="L69" i="1"/>
  <c r="M69" i="1"/>
  <c r="M63" i="6" l="1"/>
  <c r="N63" i="6"/>
  <c r="K64" i="6"/>
  <c r="K69" i="6"/>
  <c r="N64" i="6" l="1"/>
  <c r="L64" i="6"/>
  <c r="M64" i="6"/>
  <c r="M65" i="6" s="1"/>
  <c r="K65" i="6"/>
  <c r="N69" i="6"/>
  <c r="M69" i="6"/>
  <c r="L69" i="6"/>
  <c r="N65" i="6" l="1"/>
  <c r="L65" i="6"/>
  <c r="L66" i="6" s="1"/>
  <c r="K66" i="6"/>
  <c r="N66" i="6" s="1"/>
  <c r="M66" i="6" l="1"/>
  <c r="K67" i="6"/>
  <c r="L67" i="6" s="1"/>
  <c r="M67" i="6" l="1"/>
  <c r="N67" i="6"/>
  <c r="K68" i="6"/>
  <c r="L68" i="6" s="1"/>
  <c r="N68" i="6" l="1"/>
  <c r="M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BORGHI, Elaine</author>
  </authors>
  <commentList>
    <comment ref="C8" authorId="0" shapeId="0" xr:uid="{00000000-0006-0000-0000-000001000000}">
      <text>
        <r>
          <rPr>
            <b/>
            <sz val="8"/>
            <color indexed="81"/>
            <rFont val="Tahoma"/>
            <family val="2"/>
          </rPr>
          <t>BORGHI, Elaine:</t>
        </r>
        <r>
          <rPr>
            <sz val="8"/>
            <color indexed="81"/>
            <rFont val="Tahoma"/>
            <family val="2"/>
          </rPr>
          <t xml:space="preserve">
Insert here the median year (based on the "year period"), considering, whenever available, the months when the surveys were carried out. If NO information on monhts is available and surveys are conducted over two or more years, the median year will be the MEAN when odd or the nearest year above the MEAN when even. 
Examples:
1. Information on months is available: 
A survey started in September 2011 and finished in February 2012. The median year will be 2011, as it will be a 6 months period, four months in 2011 and two in 2012.
2. Information on months is not available - survey over even number of years:
A survey started in 2011 and finished in 2012. The mean is 2011.5, so the median year will be 2012. 
3. Information on months is not available - survey over odd number of years:
A survey started in 2011 and finished in 2013. The mean is 2012, so the median year is 2012.</t>
        </r>
      </text>
    </comment>
    <comment ref="B26" authorId="0" shapeId="0" xr:uid="{00000000-0006-0000-0000-000002000000}">
      <text>
        <r>
          <rPr>
            <b/>
            <sz val="8"/>
            <color indexed="81"/>
            <rFont val="Tahoma"/>
            <family val="2"/>
          </rPr>
          <t>BORGHI, Elaine:</t>
        </r>
        <r>
          <rPr>
            <sz val="8"/>
            <color indexed="81"/>
            <rFont val="Tahoma"/>
            <family val="2"/>
          </rPr>
          <t xml:space="preserve">
This is the Annual Average Rate of Reduction. Negative values indicate increase instead of reduction. </t>
        </r>
      </text>
    </comment>
    <comment ref="C37" authorId="0" shapeId="0" xr:uid="{00000000-0006-0000-0000-000003000000}">
      <text>
        <r>
          <rPr>
            <b/>
            <sz val="8"/>
            <color indexed="81"/>
            <rFont val="Tahoma"/>
            <family val="2"/>
          </rPr>
          <t>BORGHI, Elaine:</t>
        </r>
        <r>
          <rPr>
            <sz val="8"/>
            <color indexed="81"/>
            <rFont val="Tahoma"/>
            <family val="2"/>
          </rPr>
          <t xml:space="preserve">
Note this prevalence is estimated based on the log-regression model starting from the "Prediction starting year" and using the current AARR given above. Thus it is not necessrily matches the prevalence in the  provided data series, even if for the same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BORGHI, Elaine</author>
  </authors>
  <commentList>
    <comment ref="C8" authorId="0" shapeId="0" xr:uid="{00000000-0006-0000-0100-000001000000}">
      <text>
        <r>
          <rPr>
            <b/>
            <sz val="8"/>
            <color indexed="81"/>
            <rFont val="Tahoma"/>
            <family val="2"/>
          </rPr>
          <t>BORGHI, Elaine:</t>
        </r>
        <r>
          <rPr>
            <sz val="8"/>
            <color indexed="81"/>
            <rFont val="Tahoma"/>
            <family val="2"/>
          </rPr>
          <t xml:space="preserve">
Insert here the median year (based on the "year period"), considering, whenever available, the months when the surveys were carried out. If NO information on monhts is available and surveys are conducted over two or more years, the median year will be the MEAN when odd or the nearest year above the MEAN when even. 
Examples:
1. Information on months is available: 
A survey started in September 2011 and finished in February 2012. The median year will be 2011, as it will be a 6 months period, four months in 2011 and two in 2012.
2. Information on months is not available - survey over even number of years:
A survey started in 2011 and finished in 2012. The mean is 2011.5, so the median year will be 2012. 
3. Information on months is not available - survey over odd number of years:
A survey started in 2011 and finished in 2013. The mean is 2012, so the median year is 2012.</t>
        </r>
      </text>
    </comment>
    <comment ref="B26" authorId="0" shapeId="0" xr:uid="{00000000-0006-0000-0100-000002000000}">
      <text>
        <r>
          <rPr>
            <b/>
            <sz val="8"/>
            <color indexed="81"/>
            <rFont val="Tahoma"/>
            <family val="2"/>
          </rPr>
          <t>BORGHI, Elaine:</t>
        </r>
        <r>
          <rPr>
            <sz val="8"/>
            <color indexed="81"/>
            <rFont val="Tahoma"/>
            <family val="2"/>
          </rPr>
          <t xml:space="preserve">
This is the Annual Average Rate of Reduction. Negative values indicate increase intead of reduction.</t>
        </r>
      </text>
    </comment>
    <comment ref="C37" authorId="0" shapeId="0" xr:uid="{00000000-0006-0000-0100-000003000000}">
      <text>
        <r>
          <rPr>
            <b/>
            <sz val="8"/>
            <color indexed="81"/>
            <rFont val="Tahoma"/>
            <family val="2"/>
          </rPr>
          <t>BORGHI, Elaine:</t>
        </r>
        <r>
          <rPr>
            <sz val="8"/>
            <color indexed="81"/>
            <rFont val="Tahoma"/>
            <family val="2"/>
          </rPr>
          <t xml:space="preserve">
Note this prevalence is estimated based on the log-regression model starting from the "Prediction starting year" and using the current AARR given above. Thus it is not necessarily matches the prevalence in the  provided data series, even if for the same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BORGHI, Elaine</author>
  </authors>
  <commentList>
    <comment ref="C8" authorId="0" shapeId="0" xr:uid="{00000000-0006-0000-0200-000001000000}">
      <text>
        <r>
          <rPr>
            <b/>
            <sz val="8"/>
            <color indexed="81"/>
            <rFont val="Tahoma"/>
            <family val="2"/>
          </rPr>
          <t>BORGHI, Elaine:</t>
        </r>
        <r>
          <rPr>
            <sz val="8"/>
            <color indexed="81"/>
            <rFont val="Tahoma"/>
            <family val="2"/>
          </rPr>
          <t xml:space="preserve">
Insert here the median year (based on the "year period"), considering, whenever available, the months when the surveys were carried out. If NO information on monhts is available and surveys are conducted over two or more years, the median year will be the MEAN when odd or the nearest year above the MEAN when even. 
Examples:
1. Information on months is available: 
A survey started in September 2011 and finished in February 2012. The median year will be 2011, as it will be a 6 months period, four months in 2011 and two in 2012.
2. Information on months is not available - survey over even number of years:
A survey started in 2011 and finished in 2012. The mean is 2011.5, so the median year will be 2012. 
3. Information on months is not available - survey over odd number of years:
A survey started in 2011 and finished in 2013. The mean is 2012, so the median year is 2012.</t>
        </r>
      </text>
    </comment>
    <comment ref="B26" authorId="0" shapeId="0" xr:uid="{00000000-0006-0000-0200-000002000000}">
      <text>
        <r>
          <rPr>
            <b/>
            <sz val="8"/>
            <color indexed="81"/>
            <rFont val="Tahoma"/>
            <family val="2"/>
          </rPr>
          <t>BORGHI, Elaine:</t>
        </r>
        <r>
          <rPr>
            <sz val="8"/>
            <color indexed="81"/>
            <rFont val="Tahoma"/>
            <family val="2"/>
          </rPr>
          <t xml:space="preserve">
As this indicator is prone to sudden changes due to environmental factors amongst survey periods, food shortage (pre- vs post-harvest), etc, the current AARR is not stable most of the time. For this reason, in the Global Nutrition Targets Tracking Tool this estimate is not provided neither is the projections based on it.</t>
        </r>
      </text>
    </comment>
  </commentList>
</comments>
</file>

<file path=xl/sharedStrings.xml><?xml version="1.0" encoding="utf-8"?>
<sst xmlns="http://schemas.openxmlformats.org/spreadsheetml/2006/main" count="180" uniqueCount="75">
  <si>
    <t>YEAR1</t>
  </si>
  <si>
    <t>under-5y population estimate (000's)</t>
  </si>
  <si>
    <t>number of stunted children (000's)</t>
  </si>
  <si>
    <t>target number of stunted children (000's)</t>
  </si>
  <si>
    <t>under-5y population estimate at target year (000's)</t>
  </si>
  <si>
    <t>2025 target stunting prevalence (%)</t>
  </si>
  <si>
    <t>Current AARR</t>
  </si>
  <si>
    <t>Year</t>
  </si>
  <si>
    <t>Target year 2025</t>
  </si>
  <si>
    <t>Target</t>
  </si>
  <si>
    <t>Current</t>
  </si>
  <si>
    <t>Target 1 - Stunting</t>
  </si>
  <si>
    <t>Region</t>
  </si>
  <si>
    <t>Current AARR calculation data series (2008 and after)</t>
  </si>
  <si>
    <t>LN(Stunting)</t>
  </si>
  <si>
    <t>Baseline</t>
  </si>
  <si>
    <t>Required AARR from baseline year until 2025</t>
  </si>
  <si>
    <t>Predicted stunting prevalence
(%)</t>
  </si>
  <si>
    <t>Prediction starting year</t>
  </si>
  <si>
    <t>Starting year
(select year &gt; prediciton starting year)</t>
  </si>
  <si>
    <t>Required AARR from selected year until 2025</t>
  </si>
  <si>
    <t>Select alternative AARR to 2025</t>
  </si>
  <si>
    <t>What-if analysis</t>
  </si>
  <si>
    <t>Required AARR to reach the 2025 target</t>
  </si>
  <si>
    <r>
      <t xml:space="preserve">Instruction: fill in only cells in </t>
    </r>
    <r>
      <rPr>
        <b/>
        <sz val="14"/>
        <color theme="7" tint="-0.249977111117893"/>
        <rFont val="Calibri"/>
        <family val="2"/>
        <scheme val="minor"/>
      </rPr>
      <t>purple</t>
    </r>
  </si>
  <si>
    <t>What-if scenario
for starting year equals 
to prediciton starting year</t>
  </si>
  <si>
    <t>Glossary and technical notes</t>
  </si>
  <si>
    <t>Baseline year</t>
  </si>
  <si>
    <t>https://goo.gl/21J8rE</t>
  </si>
  <si>
    <t>https://goo.gl/n5quMK</t>
  </si>
  <si>
    <t>https://goo.gl/rEy2Jm</t>
  </si>
  <si>
    <t>Relative reduction in numbers compared to baseline</t>
  </si>
  <si>
    <t>https://goo.gl/Qim4yz</t>
  </si>
  <si>
    <t>Technical notes</t>
  </si>
  <si>
    <t>https://goo.gl/EeQjsE</t>
  </si>
  <si>
    <t>Under-5 population
(000's)</t>
  </si>
  <si>
    <t>stunting prevalence 
(%)</t>
  </si>
  <si>
    <t>required AARR from baseline year until 2025</t>
  </si>
  <si>
    <t>year</t>
  </si>
  <si>
    <t>Year period</t>
  </si>
  <si>
    <t>Relative reduction in prevalence compared to baseline
(%)</t>
  </si>
  <si>
    <t>target reduction in number stunted by 2025 adjusted by the baseline year
(%)</t>
  </si>
  <si>
    <t>Number of stunted children in 2025
(000's)</t>
  </si>
  <si>
    <t>2025 stunting prevalence for 2025
(%)</t>
  </si>
  <si>
    <t>Relative reduction in numbers compared to baseline
(%)</t>
  </si>
  <si>
    <t>Target 6 - Wasting</t>
  </si>
  <si>
    <t>Stunting
(%)</t>
  </si>
  <si>
    <t>Prediction starting year prevalence (%)</t>
  </si>
  <si>
    <t>wasting prevalence 
(%)</t>
  </si>
  <si>
    <t>number of wasted children (000's)</t>
  </si>
  <si>
    <t>2025 target wasting prevalence (%)</t>
  </si>
  <si>
    <t>Wasting
(%)</t>
  </si>
  <si>
    <t>LN(Wasting)</t>
  </si>
  <si>
    <t>Target year 2030</t>
  </si>
  <si>
    <t>SRI LANKA</t>
  </si>
  <si>
    <t>1987</t>
  </si>
  <si>
    <t>1993</t>
  </si>
  <si>
    <t>1995</t>
  </si>
  <si>
    <t>2000</t>
  </si>
  <si>
    <t>2006-07</t>
  </si>
  <si>
    <t>2009</t>
  </si>
  <si>
    <t>2012</t>
  </si>
  <si>
    <t>Required AARR to reach the 2030 target</t>
  </si>
  <si>
    <t>Target 4 - Overweight</t>
  </si>
  <si>
    <t>Overweight
(%)</t>
  </si>
  <si>
    <t>Target year 2025 (below 5%)</t>
  </si>
  <si>
    <t>Target year 2030 (below 3%)</t>
  </si>
  <si>
    <t>Target year 2025 (no increase)</t>
  </si>
  <si>
    <t>Number of overweight children in 2025
(000's)</t>
  </si>
  <si>
    <t>2025 overweight prevalence for 2025
(%)</t>
  </si>
  <si>
    <t>Predicted overweight prevalence
(%)</t>
  </si>
  <si>
    <t>number of overweight children (000's)</t>
  </si>
  <si>
    <t>2025 target overweight prevalence (%)</t>
  </si>
  <si>
    <t>overweight prevalence 
(%)</t>
  </si>
  <si>
    <t>Child anthropometric indicators-trends and targets tracking Excel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</si>
</sst>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19"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9"/>
      <color theme="1"/>
      <name val="Calibri"/>
      <family val="2"/>
      <scheme val="minor"/>
    </font>
    <font>
      <b/>
      <sz val="14"/>
      <color theme="1"/>
      <name val="Times New Roman"/>
      <family val="1"/>
    </font>
    <font>
      <sz val="10"/>
      <name val="Arial"/>
      <family val="2"/>
    </font>
    <font>
      <sz val="8"/>
      <color indexed="81"/>
      <name val="Tahoma"/>
      <family val="2"/>
    </font>
    <font>
      <b/>
      <sz val="8"/>
      <color indexed="81"/>
      <name val="Tahoma"/>
      <family val="2"/>
    </font>
    <font>
      <b/>
      <sz val="20"/>
      <color theme="4" tint="-0.249977111117893"/>
      <name val="Calibri"/>
      <family val="2"/>
      <scheme val="minor"/>
    </font>
    <font>
      <b/>
      <sz val="14"/>
      <name val="Calibri"/>
      <family val="2"/>
      <scheme val="minor"/>
    </font>
    <font>
      <sz val="14"/>
      <name val="Calibri"/>
      <family val="2"/>
      <scheme val="minor"/>
    </font>
    <font>
      <b/>
      <sz val="14"/>
      <color theme="7" tint="-0.249977111117893"/>
      <name val="Calibri"/>
      <family val="2"/>
      <scheme val="minor"/>
    </font>
    <font>
      <b/>
      <sz val="16"/>
      <color theme="1"/>
      <name val="Calibri"/>
      <family val="2"/>
      <scheme val="minor"/>
    </font>
    <font>
      <b/>
      <sz val="11"/>
      <name val="Calibri"/>
      <family val="2"/>
      <scheme val="minor"/>
    </font>
    <font>
      <u/>
      <sz val="11"/>
      <color theme="10"/>
      <name val="Calibri"/>
      <family val="2"/>
      <scheme val="minor"/>
    </font>
    <font>
      <u/>
      <sz val="11"/>
      <name val="Calibri"/>
      <family val="2"/>
      <scheme val="minor"/>
    </font>
    <font>
      <b/>
      <sz val="10"/>
      <name val="Arial"/>
      <family val="2"/>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tint="-4.9989318521683403E-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102">
    <xf numFmtId="0" fontId="0" fillId="0" borderId="0" xfId="0"/>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164" fontId="0" fillId="0" borderId="0" xfId="0" applyNumberFormat="1" applyBorder="1" applyAlignment="1">
      <alignment horizontal="center"/>
    </xf>
    <xf numFmtId="164"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4" fillId="0" borderId="0" xfId="0" applyFont="1"/>
    <xf numFmtId="0" fontId="1" fillId="0" borderId="0" xfId="0" applyFont="1"/>
    <xf numFmtId="164" fontId="0" fillId="0" borderId="0" xfId="0" applyNumberFormat="1"/>
    <xf numFmtId="0" fontId="1" fillId="0" borderId="0" xfId="0" applyFont="1" applyBorder="1" applyAlignment="1">
      <alignment horizontal="center"/>
    </xf>
    <xf numFmtId="0" fontId="1" fillId="0" borderId="0" xfId="0" applyFont="1" applyBorder="1"/>
    <xf numFmtId="0" fontId="2" fillId="0" borderId="11" xfId="0" applyFont="1" applyFill="1" applyBorder="1" applyAlignment="1">
      <alignment horizontal="center" vertical="center" wrapText="1"/>
    </xf>
    <xf numFmtId="0" fontId="5" fillId="0" borderId="0" xfId="0" applyFont="1"/>
    <xf numFmtId="0" fontId="0" fillId="0" borderId="0" xfId="0" applyFill="1"/>
    <xf numFmtId="0" fontId="2" fillId="0" borderId="3" xfId="0" applyFont="1" applyBorder="1" applyAlignment="1">
      <alignment horizontal="center" vertical="center"/>
    </xf>
    <xf numFmtId="0" fontId="0" fillId="0" borderId="0" xfId="0" applyBorder="1"/>
    <xf numFmtId="0" fontId="0" fillId="0" borderId="0" xfId="0" applyFill="1" applyAlignment="1">
      <alignment horizontal="left"/>
    </xf>
    <xf numFmtId="0" fontId="9" fillId="0" borderId="0" xfId="0" applyFont="1"/>
    <xf numFmtId="0" fontId="0" fillId="0" borderId="10" xfId="0" applyFill="1" applyBorder="1"/>
    <xf numFmtId="0" fontId="0" fillId="0" borderId="10" xfId="0" applyFill="1" applyBorder="1" applyAlignment="1">
      <alignment horizontal="right"/>
    </xf>
    <xf numFmtId="0" fontId="0" fillId="0" borderId="0" xfId="0" applyAlignment="1">
      <alignment wrapText="1"/>
    </xf>
    <xf numFmtId="0" fontId="1" fillId="0" borderId="0" xfId="0" applyFont="1" applyBorder="1" applyAlignment="1">
      <alignment horizontal="center" vertical="center"/>
    </xf>
    <xf numFmtId="164" fontId="2" fillId="0" borderId="4" xfId="0" applyNumberFormat="1" applyFont="1" applyBorder="1" applyAlignment="1">
      <alignment horizontal="center" vertical="center" wrapText="1"/>
    </xf>
    <xf numFmtId="164" fontId="2" fillId="0" borderId="4" xfId="0" applyNumberFormat="1" applyFont="1" applyFill="1" applyBorder="1" applyAlignment="1">
      <alignment horizontal="center" vertical="center" wrapText="1"/>
    </xf>
    <xf numFmtId="1" fontId="0" fillId="6" borderId="0" xfId="0" applyNumberFormat="1" applyFill="1"/>
    <xf numFmtId="164" fontId="0" fillId="6" borderId="0" xfId="0" applyNumberFormat="1" applyFill="1"/>
    <xf numFmtId="166" fontId="0" fillId="6" borderId="0" xfId="0" applyNumberFormat="1" applyFill="1"/>
    <xf numFmtId="0" fontId="1" fillId="0" borderId="0" xfId="0" applyFont="1" applyFill="1"/>
    <xf numFmtId="165" fontId="0" fillId="6" borderId="0" xfId="0" applyNumberFormat="1" applyFill="1"/>
    <xf numFmtId="0" fontId="3" fillId="6" borderId="6" xfId="0" applyFont="1" applyFill="1" applyBorder="1" applyAlignment="1">
      <alignmen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wrapText="1"/>
    </xf>
    <xf numFmtId="167" fontId="3" fillId="6" borderId="8" xfId="0" applyNumberFormat="1" applyFont="1" applyFill="1" applyBorder="1" applyAlignment="1">
      <alignment horizontal="center" vertical="center" wrapText="1"/>
    </xf>
    <xf numFmtId="164" fontId="0" fillId="6" borderId="8" xfId="0" applyNumberFormat="1" applyFill="1" applyBorder="1" applyAlignment="1">
      <alignment horizontal="center"/>
    </xf>
    <xf numFmtId="164" fontId="3" fillId="6" borderId="8" xfId="0" applyNumberFormat="1" applyFont="1" applyFill="1" applyBorder="1" applyAlignment="1">
      <alignment horizontal="center" vertical="center" wrapText="1"/>
    </xf>
    <xf numFmtId="1" fontId="3" fillId="6" borderId="8" xfId="0" applyNumberFormat="1"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164" fontId="3" fillId="6" borderId="7"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center" wrapText="1"/>
    </xf>
    <xf numFmtId="1" fontId="3" fillId="6" borderId="4" xfId="0" applyNumberFormat="1" applyFont="1" applyFill="1" applyBorder="1" applyAlignment="1">
      <alignment horizontal="center" vertical="center" wrapText="1"/>
    </xf>
    <xf numFmtId="164" fontId="0" fillId="0" borderId="0" xfId="0" applyNumberFormat="1" applyBorder="1"/>
    <xf numFmtId="1" fontId="3" fillId="6" borderId="0" xfId="0" applyNumberFormat="1" applyFont="1" applyFill="1" applyBorder="1" applyAlignment="1">
      <alignment horizontal="center" vertical="center" wrapText="1"/>
    </xf>
    <xf numFmtId="164" fontId="3" fillId="6" borderId="0" xfId="0" applyNumberFormat="1" applyFont="1" applyFill="1" applyBorder="1" applyAlignment="1">
      <alignment horizontal="center" vertical="center" wrapText="1"/>
    </xf>
    <xf numFmtId="0" fontId="10" fillId="2" borderId="0" xfId="0" applyFont="1" applyFill="1"/>
    <xf numFmtId="0" fontId="11" fillId="2" borderId="0" xfId="0" applyFont="1" applyFill="1"/>
    <xf numFmtId="0" fontId="13" fillId="0" borderId="0" xfId="0" applyFont="1"/>
    <xf numFmtId="0" fontId="14" fillId="0" borderId="12" xfId="0" applyFont="1" applyBorder="1" applyAlignment="1">
      <alignment horizontal="left"/>
    </xf>
    <xf numFmtId="0" fontId="16" fillId="0" borderId="12" xfId="2" applyFont="1" applyBorder="1"/>
    <xf numFmtId="0" fontId="17" fillId="0" borderId="12" xfId="0" applyFont="1" applyFill="1" applyBorder="1" applyAlignment="1">
      <alignment horizontal="left" vertical="center" wrapText="1"/>
    </xf>
    <xf numFmtId="0" fontId="14" fillId="0" borderId="12" xfId="0" applyFont="1" applyBorder="1" applyAlignment="1">
      <alignment horizontal="left" wrapText="1"/>
    </xf>
    <xf numFmtId="0" fontId="18" fillId="0" borderId="0" xfId="0" applyFont="1"/>
    <xf numFmtId="0" fontId="1" fillId="0" borderId="12" xfId="0" applyFont="1" applyBorder="1"/>
    <xf numFmtId="0" fontId="0" fillId="7" borderId="0" xfId="0" applyFill="1" applyProtection="1">
      <protection locked="0"/>
    </xf>
    <xf numFmtId="1" fontId="0" fillId="7" borderId="0" xfId="0" applyNumberFormat="1" applyFill="1" applyAlignment="1" applyProtection="1">
      <alignment horizontal="right"/>
      <protection locked="0"/>
    </xf>
    <xf numFmtId="164" fontId="0" fillId="7" borderId="0" xfId="0" applyNumberFormat="1" applyFill="1" applyProtection="1">
      <protection locked="0"/>
    </xf>
    <xf numFmtId="0" fontId="0" fillId="7" borderId="0" xfId="0" applyFill="1" applyAlignment="1" applyProtection="1">
      <alignment horizontal="left"/>
      <protection locked="0"/>
    </xf>
    <xf numFmtId="0" fontId="0" fillId="7" borderId="0" xfId="0" applyFill="1" applyAlignment="1" applyProtection="1">
      <alignment horizontal="right"/>
      <protection locked="0"/>
    </xf>
    <xf numFmtId="167" fontId="3" fillId="7" borderId="8" xfId="0" applyNumberFormat="1" applyFont="1" applyFill="1" applyBorder="1" applyAlignment="1" applyProtection="1">
      <alignment horizontal="center" vertical="center" wrapText="1"/>
      <protection locked="0"/>
    </xf>
    <xf numFmtId="164" fontId="0" fillId="7" borderId="4" xfId="0" applyNumberFormat="1" applyFill="1" applyBorder="1" applyAlignment="1" applyProtection="1">
      <alignment horizontal="center"/>
      <protection locked="0"/>
    </xf>
    <xf numFmtId="1" fontId="3" fillId="7" borderId="4" xfId="0" applyNumberFormat="1" applyFont="1" applyFill="1" applyBorder="1" applyAlignment="1" applyProtection="1">
      <alignment horizontal="center" vertical="center" wrapText="1"/>
      <protection locked="0"/>
    </xf>
    <xf numFmtId="0" fontId="1" fillId="6" borderId="9" xfId="0" applyFont="1" applyFill="1" applyBorder="1" applyAlignment="1" applyProtection="1">
      <alignment horizontal="right"/>
    </xf>
    <xf numFmtId="0" fontId="1" fillId="6" borderId="9" xfId="0" applyFont="1" applyFill="1" applyBorder="1" applyAlignment="1" applyProtection="1">
      <alignment horizontal="right" wrapText="1"/>
    </xf>
    <xf numFmtId="1" fontId="0" fillId="6" borderId="0" xfId="0" applyNumberFormat="1" applyFill="1" applyProtection="1"/>
    <xf numFmtId="164" fontId="0" fillId="6" borderId="0" xfId="0" applyNumberFormat="1" applyFill="1" applyProtection="1"/>
    <xf numFmtId="0" fontId="1" fillId="0" borderId="0" xfId="0" applyFont="1" applyBorder="1" applyAlignment="1">
      <alignment horizontal="center" vertical="center"/>
    </xf>
    <xf numFmtId="0" fontId="0" fillId="0" borderId="10" xfId="0" applyFill="1" applyBorder="1" applyAlignment="1">
      <alignment horizontal="right" wrapText="1"/>
    </xf>
    <xf numFmtId="0" fontId="0" fillId="0" borderId="0" xfId="0" applyFill="1" applyBorder="1"/>
    <xf numFmtId="0" fontId="1" fillId="0" borderId="0" xfId="0" applyFont="1" applyBorder="1" applyAlignment="1">
      <alignment horizontal="center" vertical="center"/>
    </xf>
    <xf numFmtId="1" fontId="0" fillId="0" borderId="0" xfId="0" applyNumberFormat="1" applyFill="1" applyBorder="1"/>
    <xf numFmtId="0" fontId="1" fillId="0" borderId="0" xfId="0" applyFont="1" applyFill="1" applyBorder="1" applyAlignment="1" applyProtection="1">
      <alignment horizontal="right" wrapText="1"/>
    </xf>
    <xf numFmtId="164" fontId="0" fillId="0" borderId="0" xfId="0" applyNumberFormat="1" applyFill="1" applyBorder="1" applyProtection="1"/>
    <xf numFmtId="164" fontId="0" fillId="6" borderId="4" xfId="0" applyNumberFormat="1" applyFill="1" applyBorder="1" applyAlignment="1">
      <alignment horizontal="center"/>
    </xf>
    <xf numFmtId="0" fontId="1" fillId="0" borderId="0" xfId="0" applyFont="1" applyFill="1" applyBorder="1" applyAlignment="1" applyProtection="1">
      <alignment horizontal="right"/>
    </xf>
    <xf numFmtId="1" fontId="0" fillId="0" borderId="0" xfId="0" applyNumberFormat="1" applyFill="1" applyBorder="1" applyProtection="1"/>
    <xf numFmtId="1" fontId="0" fillId="9" borderId="0" xfId="0" applyNumberFormat="1" applyFill="1" applyBorder="1" applyAlignment="1">
      <alignment horizontal="right"/>
    </xf>
    <xf numFmtId="164" fontId="3" fillId="9" borderId="0" xfId="0" applyNumberFormat="1" applyFont="1" applyFill="1" applyBorder="1" applyAlignment="1">
      <alignment horizontal="center" vertical="center" wrapText="1"/>
    </xf>
    <xf numFmtId="1" fontId="3" fillId="9" borderId="0" xfId="0" applyNumberFormat="1" applyFont="1" applyFill="1" applyBorder="1" applyAlignment="1">
      <alignment horizontal="right" vertical="center" wrapText="1"/>
    </xf>
    <xf numFmtId="0" fontId="0" fillId="9" borderId="0" xfId="0" applyFill="1"/>
    <xf numFmtId="0" fontId="0" fillId="9" borderId="0" xfId="0" applyFill="1" applyBorder="1" applyAlignment="1">
      <alignment horizontal="right"/>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0" borderId="0" xfId="0" applyFont="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43479242514037E-2"/>
          <c:y val="2.3386030212995616E-2"/>
          <c:w val="0.89984827702988734"/>
          <c:h val="0.8129759107106137"/>
        </c:manualLayout>
      </c:layout>
      <c:scatterChart>
        <c:scatterStyle val="lineMarker"/>
        <c:varyColors val="0"/>
        <c:ser>
          <c:idx val="0"/>
          <c:order val="0"/>
          <c:tx>
            <c:strRef>
              <c:f>Stunting!$D$8</c:f>
              <c:strCache>
                <c:ptCount val="1"/>
                <c:pt idx="0">
                  <c:v>Stunting
(%)</c:v>
                </c:pt>
              </c:strCache>
            </c:strRef>
          </c:tx>
          <c:spPr>
            <a:ln w="28575">
              <a:noFill/>
            </a:ln>
          </c:spPr>
          <c:marker>
            <c:symbol val="triangle"/>
            <c:size val="7"/>
            <c:spPr>
              <a:solidFill>
                <a:schemeClr val="tx1"/>
              </a:solidFill>
            </c:spPr>
          </c:marker>
          <c:xVal>
            <c:numRef>
              <c:f>Stunting!$C$9:$C$22</c:f>
              <c:numCache>
                <c:formatCode>0</c:formatCode>
                <c:ptCount val="14"/>
                <c:pt idx="0">
                  <c:v>1987</c:v>
                </c:pt>
                <c:pt idx="1">
                  <c:v>1993</c:v>
                </c:pt>
                <c:pt idx="2">
                  <c:v>1995</c:v>
                </c:pt>
                <c:pt idx="3">
                  <c:v>2000</c:v>
                </c:pt>
                <c:pt idx="4">
                  <c:v>2007</c:v>
                </c:pt>
                <c:pt idx="5">
                  <c:v>2009</c:v>
                </c:pt>
                <c:pt idx="6">
                  <c:v>2012</c:v>
                </c:pt>
                <c:pt idx="7">
                  <c:v>2016</c:v>
                </c:pt>
              </c:numCache>
            </c:numRef>
          </c:xVal>
          <c:yVal>
            <c:numRef>
              <c:f>Stunting!$D$9:$D$22</c:f>
              <c:numCache>
                <c:formatCode>General</c:formatCode>
                <c:ptCount val="14"/>
                <c:pt idx="0">
                  <c:v>32.299999999999997</c:v>
                </c:pt>
                <c:pt idx="1">
                  <c:v>29.7</c:v>
                </c:pt>
                <c:pt idx="2">
                  <c:v>26.1</c:v>
                </c:pt>
                <c:pt idx="3">
                  <c:v>18.399999999999999</c:v>
                </c:pt>
                <c:pt idx="4">
                  <c:v>17.3</c:v>
                </c:pt>
                <c:pt idx="5">
                  <c:v>19.2</c:v>
                </c:pt>
                <c:pt idx="6">
                  <c:v>14.7</c:v>
                </c:pt>
                <c:pt idx="7">
                  <c:v>17.3</c:v>
                </c:pt>
              </c:numCache>
            </c:numRef>
          </c:yVal>
          <c:smooth val="0"/>
          <c:extLst>
            <c:ext xmlns:c16="http://schemas.microsoft.com/office/drawing/2014/chart" uri="{C3380CC4-5D6E-409C-BE32-E72D297353CC}">
              <c16:uniqueId val="{00000000-2A6F-46E9-9C49-D4ECAA451D87}"/>
            </c:ext>
          </c:extLst>
        </c:ser>
        <c:ser>
          <c:idx val="1"/>
          <c:order val="1"/>
          <c:tx>
            <c:strRef>
              <c:f>Stunting!$M$46</c:f>
              <c:strCache>
                <c:ptCount val="1"/>
                <c:pt idx="0">
                  <c:v>Target</c:v>
                </c:pt>
              </c:strCache>
            </c:strRef>
          </c:tx>
          <c:spPr>
            <a:ln w="19050">
              <a:solidFill>
                <a:schemeClr val="accent3">
                  <a:lumMod val="75000"/>
                </a:schemeClr>
              </a:solidFill>
              <a:prstDash val="dash"/>
            </a:ln>
          </c:spPr>
          <c:marker>
            <c:symbol val="none"/>
          </c:marker>
          <c:xVal>
            <c:numRef>
              <c:f>Stunting!$K$47:$K$69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Stunting!$M$47:$M$69</c:f>
              <c:numCache>
                <c:formatCode>0.0</c:formatCode>
                <c:ptCount val="23"/>
                <c:pt idx="0">
                  <c:v>19.2</c:v>
                </c:pt>
                <c:pt idx="1">
                  <c:v>18.523924822240843</c:v>
                </c:pt>
                <c:pt idx="2">
                  <c:v>17.871655771876586</c:v>
                </c:pt>
                <c:pt idx="3">
                  <c:v>17.242354581625445</c:v>
                </c:pt>
                <c:pt idx="4">
                  <c:v>16.635212501481757</c:v>
                </c:pt>
                <c:pt idx="5">
                  <c:v>16.049449259346307</c:v>
                </c:pt>
                <c:pt idx="6">
                  <c:v>15.484312058255206</c:v>
                </c:pt>
                <c:pt idx="7">
                  <c:v>14.939074608918583</c:v>
                </c:pt>
                <c:pt idx="8">
                  <c:v>14.413036196325773</c:v>
                </c:pt>
                <c:pt idx="9">
                  <c:v>13.905520779217435</c:v>
                </c:pt>
                <c:pt idx="10">
                  <c:v>13.415876121267274</c:v>
                </c:pt>
                <c:pt idx="11">
                  <c:v>12.943472952856826</c:v>
                </c:pt>
                <c:pt idx="12">
                  <c:v>12.487704162366018</c:v>
                </c:pt>
                <c:pt idx="13">
                  <c:v>12.047984015940218</c:v>
                </c:pt>
                <c:pt idx="14">
                  <c:v>11.623747404731038</c:v>
                </c:pt>
                <c:pt idx="15">
                  <c:v>11.214449118643481</c:v>
                </c:pt>
                <c:pt idx="16">
                  <c:v>10.81956314565609</c:v>
                </c:pt>
                <c:pt idx="17">
                  <c:v>10.778189362849046</c:v>
                </c:pt>
                <c:pt idx="18">
                  <c:v>10.398665076942274</c:v>
                </c:pt>
                <c:pt idx="19">
                  <c:v>10.032504694632291</c:v>
                </c:pt>
                <c:pt idx="20">
                  <c:v>9.6792376428201514</c:v>
                </c:pt>
                <c:pt idx="21">
                  <c:v>9.3384099183439666</c:v>
                </c:pt>
                <c:pt idx="22">
                  <c:v>#N/A</c:v>
                </c:pt>
              </c:numCache>
            </c:numRef>
          </c:yVal>
          <c:smooth val="0"/>
          <c:extLst>
            <c:ext xmlns:c16="http://schemas.microsoft.com/office/drawing/2014/chart" uri="{C3380CC4-5D6E-409C-BE32-E72D297353CC}">
              <c16:uniqueId val="{00000001-2A6F-46E9-9C49-D4ECAA451D87}"/>
            </c:ext>
          </c:extLst>
        </c:ser>
        <c:ser>
          <c:idx val="2"/>
          <c:order val="2"/>
          <c:tx>
            <c:strRef>
              <c:f>Stunting!$N$46</c:f>
              <c:strCache>
                <c:ptCount val="1"/>
                <c:pt idx="0">
                  <c:v>What-if scenario
for starting year equals 
to prediciton starting year</c:v>
                </c:pt>
              </c:strCache>
            </c:strRef>
          </c:tx>
          <c:spPr>
            <a:ln w="22225">
              <a:solidFill>
                <a:schemeClr val="accent6">
                  <a:lumMod val="75000"/>
                </a:schemeClr>
              </a:solidFill>
              <a:prstDash val="dashDot"/>
            </a:ln>
          </c:spPr>
          <c:marker>
            <c:symbol val="none"/>
          </c:marker>
          <c:xVal>
            <c:numRef>
              <c:f>Stunting!$K$47:$K$69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Stunting!$N$47:$N$69</c:f>
              <c:numCache>
                <c:formatCode>0.0</c:formatCode>
                <c:ptCount val="23"/>
                <c:pt idx="0">
                  <c:v>19.2</c:v>
                </c:pt>
                <c:pt idx="1">
                  <c:v>18.239999999999998</c:v>
                </c:pt>
                <c:pt idx="2">
                  <c:v>17.327999999999999</c:v>
                </c:pt>
                <c:pt idx="3">
                  <c:v>16.461599999999997</c:v>
                </c:pt>
                <c:pt idx="4">
                  <c:v>15.638519999999996</c:v>
                </c:pt>
                <c:pt idx="5">
                  <c:v>14.856593999999996</c:v>
                </c:pt>
                <c:pt idx="6">
                  <c:v>14.113764299999996</c:v>
                </c:pt>
                <c:pt idx="7">
                  <c:v>13.408076084999996</c:v>
                </c:pt>
                <c:pt idx="8">
                  <c:v>12.737672280749996</c:v>
                </c:pt>
                <c:pt idx="9">
                  <c:v>12.100788666712495</c:v>
                </c:pt>
                <c:pt idx="10">
                  <c:v>11.49574923337687</c:v>
                </c:pt>
                <c:pt idx="11">
                  <c:v>10.920961771708026</c:v>
                </c:pt>
                <c:pt idx="12">
                  <c:v>10.374913683122625</c:v>
                </c:pt>
                <c:pt idx="13">
                  <c:v>9.8561679989664928</c:v>
                </c:pt>
                <c:pt idx="14">
                  <c:v>9.3633595990181675</c:v>
                </c:pt>
                <c:pt idx="15">
                  <c:v>8.8951916190672584</c:v>
                </c:pt>
                <c:pt idx="16">
                  <c:v>8.4504320381138953</c:v>
                </c:pt>
                <c:pt idx="17">
                  <c:v>8.0279104362082006</c:v>
                </c:pt>
                <c:pt idx="18">
                  <c:v>7.6265149143977897</c:v>
                </c:pt>
                <c:pt idx="19">
                  <c:v>7.2451891686779</c:v>
                </c:pt>
                <c:pt idx="20">
                  <c:v>6.8829297102440048</c:v>
                </c:pt>
                <c:pt idx="21">
                  <c:v>6.5387832247318043</c:v>
                </c:pt>
                <c:pt idx="22">
                  <c:v>#N/A</c:v>
                </c:pt>
              </c:numCache>
            </c:numRef>
          </c:yVal>
          <c:smooth val="0"/>
          <c:extLst>
            <c:ext xmlns:c16="http://schemas.microsoft.com/office/drawing/2014/chart" uri="{C3380CC4-5D6E-409C-BE32-E72D297353CC}">
              <c16:uniqueId val="{00000002-2A6F-46E9-9C49-D4ECAA451D87}"/>
            </c:ext>
          </c:extLst>
        </c:ser>
        <c:ser>
          <c:idx val="3"/>
          <c:order val="3"/>
          <c:tx>
            <c:strRef>
              <c:f>Stunting!$L$46</c:f>
              <c:strCache>
                <c:ptCount val="1"/>
                <c:pt idx="0">
                  <c:v>Current</c:v>
                </c:pt>
              </c:strCache>
            </c:strRef>
          </c:tx>
          <c:spPr>
            <a:ln w="22225">
              <a:solidFill>
                <a:schemeClr val="accent1">
                  <a:lumMod val="75000"/>
                </a:schemeClr>
              </a:solidFill>
              <a:prstDash val="dash"/>
            </a:ln>
          </c:spPr>
          <c:marker>
            <c:symbol val="none"/>
          </c:marker>
          <c:xVal>
            <c:numRef>
              <c:f>Stunting!$K$47:$K$69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Stunting!$L$47:$L$69</c:f>
              <c:numCache>
                <c:formatCode>0.0</c:formatCode>
                <c:ptCount val="23"/>
                <c:pt idx="0">
                  <c:v>19.2</c:v>
                </c:pt>
                <c:pt idx="1">
                  <c:v>18.97323847304536</c:v>
                </c:pt>
                <c:pt idx="2">
                  <c:v>18.749155112242114</c:v>
                </c:pt>
                <c:pt idx="3">
                  <c:v>18.527718287119125</c:v>
                </c:pt>
                <c:pt idx="4">
                  <c:v>18.308896740776806</c:v>
                </c:pt>
                <c:pt idx="5">
                  <c:v>18.092659585475069</c:v>
                </c:pt>
                <c:pt idx="6">
                  <c:v>17.878976298273358</c:v>
                </c:pt>
                <c:pt idx="7">
                  <c:v>17.667816716722196</c:v>
                </c:pt>
                <c:pt idx="8">
                  <c:v>17.4591510346056</c:v>
                </c:pt>
                <c:pt idx="9">
                  <c:v>17.252949797733784</c:v>
                </c:pt>
                <c:pt idx="10">
                  <c:v>17.049183899785561</c:v>
                </c:pt>
                <c:pt idx="11">
                  <c:v>16.847824578199841</c:v>
                </c:pt>
                <c:pt idx="12">
                  <c:v>16.648843410115646</c:v>
                </c:pt>
                <c:pt idx="13">
                  <c:v>16.452212308360096</c:v>
                </c:pt>
                <c:pt idx="14">
                  <c:v>16.257903517483758</c:v>
                </c:pt>
                <c:pt idx="15">
                  <c:v>16.065889609842827</c:v>
                </c:pt>
                <c:pt idx="16">
                  <c:v>15.876143481727585</c:v>
                </c:pt>
                <c:pt idx="17">
                  <c:v>15.68863834953657</c:v>
                </c:pt>
                <c:pt idx="18">
                  <c:v>15.503347745995942</c:v>
                </c:pt>
                <c:pt idx="19">
                  <c:v>15.320245516423503</c:v>
                </c:pt>
                <c:pt idx="20">
                  <c:v>15.139305815036828</c:v>
                </c:pt>
                <c:pt idx="21">
                  <c:v>14.960503101305004</c:v>
                </c:pt>
                <c:pt idx="22">
                  <c:v>#N/A</c:v>
                </c:pt>
              </c:numCache>
            </c:numRef>
          </c:yVal>
          <c:smooth val="0"/>
          <c:extLst>
            <c:ext xmlns:c16="http://schemas.microsoft.com/office/drawing/2014/chart" uri="{C3380CC4-5D6E-409C-BE32-E72D297353CC}">
              <c16:uniqueId val="{00000003-2A6F-46E9-9C49-D4ECAA451D87}"/>
            </c:ext>
          </c:extLst>
        </c:ser>
        <c:dLbls>
          <c:showLegendKey val="0"/>
          <c:showVal val="0"/>
          <c:showCatName val="0"/>
          <c:showSerName val="0"/>
          <c:showPercent val="0"/>
          <c:showBubbleSize val="0"/>
        </c:dLbls>
        <c:axId val="151697280"/>
        <c:axId val="151698816"/>
      </c:scatterChart>
      <c:valAx>
        <c:axId val="151697280"/>
        <c:scaling>
          <c:orientation val="minMax"/>
          <c:max val="2030"/>
          <c:min val="1999"/>
        </c:scaling>
        <c:delete val="0"/>
        <c:axPos val="b"/>
        <c:numFmt formatCode="0" sourceLinked="1"/>
        <c:majorTickMark val="out"/>
        <c:minorTickMark val="none"/>
        <c:tickLblPos val="nextTo"/>
        <c:crossAx val="151698816"/>
        <c:crosses val="autoZero"/>
        <c:crossBetween val="midCat"/>
      </c:valAx>
      <c:valAx>
        <c:axId val="151698816"/>
        <c:scaling>
          <c:orientation val="minMax"/>
          <c:min val="0"/>
        </c:scaling>
        <c:delete val="0"/>
        <c:axPos val="l"/>
        <c:majorGridlines/>
        <c:title>
          <c:tx>
            <c:rich>
              <a:bodyPr rot="-5400000" vert="horz"/>
              <a:lstStyle/>
              <a:p>
                <a:pPr>
                  <a:defRPr sz="1400" b="1"/>
                </a:pPr>
                <a:r>
                  <a:rPr lang="en-GB" sz="1400" b="1">
                    <a:latin typeface="Times New Roman" panose="02020603050405020304" pitchFamily="18" charset="0"/>
                    <a:cs typeface="Times New Roman" panose="02020603050405020304" pitchFamily="18" charset="0"/>
                  </a:rPr>
                  <a:t>Stunting (%)</a:t>
                </a:r>
              </a:p>
            </c:rich>
          </c:tx>
          <c:layout>
            <c:manualLayout>
              <c:xMode val="edge"/>
              <c:yMode val="edge"/>
              <c:x val="6.1027459286887254E-4"/>
              <c:y val="0.31064138752619636"/>
            </c:manualLayout>
          </c:layout>
          <c:overlay val="0"/>
        </c:title>
        <c:numFmt formatCode="General" sourceLinked="1"/>
        <c:majorTickMark val="out"/>
        <c:minorTickMark val="none"/>
        <c:tickLblPos val="nextTo"/>
        <c:crossAx val="151697280"/>
        <c:crosses val="autoZero"/>
        <c:crossBetween val="midCat"/>
      </c:valAx>
    </c:plotArea>
    <c:legend>
      <c:legendPos val="b"/>
      <c:layout>
        <c:manualLayout>
          <c:xMode val="edge"/>
          <c:yMode val="edge"/>
          <c:x val="0.13225919340727571"/>
          <c:y val="0.884578965471574"/>
          <c:w val="0.81388502243671157"/>
          <c:h val="0.1141235085895379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43479242514037E-2"/>
          <c:y val="2.3386030212995616E-2"/>
          <c:w val="0.89984827702988734"/>
          <c:h val="0.8129759107106137"/>
        </c:manualLayout>
      </c:layout>
      <c:scatterChart>
        <c:scatterStyle val="lineMarker"/>
        <c:varyColors val="0"/>
        <c:ser>
          <c:idx val="0"/>
          <c:order val="0"/>
          <c:tx>
            <c:strRef>
              <c:f>Overweight!$D$8</c:f>
              <c:strCache>
                <c:ptCount val="1"/>
                <c:pt idx="0">
                  <c:v>Overweight
(%)</c:v>
                </c:pt>
              </c:strCache>
            </c:strRef>
          </c:tx>
          <c:spPr>
            <a:ln w="28575">
              <a:noFill/>
            </a:ln>
          </c:spPr>
          <c:marker>
            <c:symbol val="triangle"/>
            <c:size val="7"/>
            <c:spPr>
              <a:solidFill>
                <a:schemeClr val="tx1"/>
              </a:solidFill>
            </c:spPr>
          </c:marker>
          <c:xVal>
            <c:numRef>
              <c:f>Overweight!$C$9:$C$22</c:f>
              <c:numCache>
                <c:formatCode>0</c:formatCode>
                <c:ptCount val="14"/>
                <c:pt idx="0">
                  <c:v>1987</c:v>
                </c:pt>
                <c:pt idx="1">
                  <c:v>1993</c:v>
                </c:pt>
                <c:pt idx="2">
                  <c:v>1995</c:v>
                </c:pt>
                <c:pt idx="3">
                  <c:v>2000</c:v>
                </c:pt>
                <c:pt idx="4">
                  <c:v>2007</c:v>
                </c:pt>
                <c:pt idx="5">
                  <c:v>2009</c:v>
                </c:pt>
                <c:pt idx="6">
                  <c:v>2012</c:v>
                </c:pt>
                <c:pt idx="7">
                  <c:v>2016</c:v>
                </c:pt>
              </c:numCache>
            </c:numRef>
          </c:xVal>
          <c:yVal>
            <c:numRef>
              <c:f>Overweight!$D$9:$D$22</c:f>
              <c:numCache>
                <c:formatCode>General</c:formatCode>
                <c:ptCount val="14"/>
                <c:pt idx="0">
                  <c:v>0.3</c:v>
                </c:pt>
                <c:pt idx="3">
                  <c:v>1</c:v>
                </c:pt>
                <c:pt idx="4">
                  <c:v>1.6</c:v>
                </c:pt>
                <c:pt idx="5">
                  <c:v>0.8</c:v>
                </c:pt>
                <c:pt idx="6">
                  <c:v>0.6</c:v>
                </c:pt>
                <c:pt idx="7">
                  <c:v>2</c:v>
                </c:pt>
              </c:numCache>
            </c:numRef>
          </c:yVal>
          <c:smooth val="0"/>
          <c:extLst>
            <c:ext xmlns:c16="http://schemas.microsoft.com/office/drawing/2014/chart" uri="{C3380CC4-5D6E-409C-BE32-E72D297353CC}">
              <c16:uniqueId val="{00000000-3591-4A3F-9E3C-5422BA132261}"/>
            </c:ext>
          </c:extLst>
        </c:ser>
        <c:ser>
          <c:idx val="1"/>
          <c:order val="1"/>
          <c:tx>
            <c:strRef>
              <c:f>Stunting!$M$46</c:f>
              <c:strCache>
                <c:ptCount val="1"/>
                <c:pt idx="0">
                  <c:v>Target</c:v>
                </c:pt>
              </c:strCache>
            </c:strRef>
          </c:tx>
          <c:spPr>
            <a:ln w="19050">
              <a:solidFill>
                <a:schemeClr val="accent3">
                  <a:lumMod val="75000"/>
                </a:schemeClr>
              </a:solidFill>
              <a:prstDash val="dash"/>
            </a:ln>
          </c:spPr>
          <c:marker>
            <c:symbol val="none"/>
          </c:marker>
          <c:xVal>
            <c:numRef>
              <c:f>Overweight!$K$47:$K$69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Overweight!$M$47:$M$69</c:f>
              <c:numCache>
                <c:formatCode>0.0</c:formatCode>
                <c:ptCount val="23"/>
                <c:pt idx="0">
                  <c:v>0.8</c:v>
                </c:pt>
                <c:pt idx="1">
                  <c:v>0.78574443884420719</c:v>
                </c:pt>
                <c:pt idx="2">
                  <c:v>0.77174290396824752</c:v>
                </c:pt>
                <c:pt idx="3">
                  <c:v>0.75799086876316191</c:v>
                </c:pt>
                <c:pt idx="4">
                  <c:v>0.74448388728167969</c:v>
                </c:pt>
                <c:pt idx="5">
                  <c:v>0.73121759280087173</c:v>
                </c:pt>
                <c:pt idx="6">
                  <c:v>0.71818769641041613</c:v>
                </c:pt>
                <c:pt idx="7">
                  <c:v>0.70538998562602029</c:v>
                </c:pt>
                <c:pt idx="8">
                  <c:v>0.69282032302755081</c:v>
                </c:pt>
                <c:pt idx="9">
                  <c:v>0.6804746449214315</c:v>
                </c:pt>
                <c:pt idx="10">
                  <c:v>0.6683489600268766</c:v>
                </c:pt>
                <c:pt idx="11">
                  <c:v>0.65643934818553451</c:v>
                </c:pt>
                <c:pt idx="12">
                  <c:v>0.64474195909412491</c:v>
                </c:pt>
                <c:pt idx="13">
                  <c:v>0.63325301105965992</c:v>
                </c:pt>
                <c:pt idx="14">
                  <c:v>0.62196878977684622</c:v>
                </c:pt>
                <c:pt idx="15">
                  <c:v>0.61088564712727333</c:v>
                </c:pt>
                <c:pt idx="16">
                  <c:v>0.59999999999999964</c:v>
                </c:pt>
                <c:pt idx="17">
                  <c:v>0.59183655598935503</c:v>
                </c:pt>
                <c:pt idx="18">
                  <c:v>0.58378418167556867</c:v>
                </c:pt>
                <c:pt idx="19">
                  <c:v>0.57584136587322121</c:v>
                </c:pt>
                <c:pt idx="20">
                  <c:v>0.56800661795768936</c:v>
                </c:pt>
                <c:pt idx="21">
                  <c:v>0.56027846758540079</c:v>
                </c:pt>
                <c:pt idx="22">
                  <c:v>#N/A</c:v>
                </c:pt>
              </c:numCache>
            </c:numRef>
          </c:yVal>
          <c:smooth val="0"/>
          <c:extLst>
            <c:ext xmlns:c16="http://schemas.microsoft.com/office/drawing/2014/chart" uri="{C3380CC4-5D6E-409C-BE32-E72D297353CC}">
              <c16:uniqueId val="{00000001-3591-4A3F-9E3C-5422BA132261}"/>
            </c:ext>
          </c:extLst>
        </c:ser>
        <c:ser>
          <c:idx val="2"/>
          <c:order val="2"/>
          <c:tx>
            <c:strRef>
              <c:f>Overweight!$N$46</c:f>
              <c:strCache>
                <c:ptCount val="1"/>
                <c:pt idx="0">
                  <c:v>What-if scenario
for starting year equals 
to prediciton starting year</c:v>
                </c:pt>
              </c:strCache>
            </c:strRef>
          </c:tx>
          <c:spPr>
            <a:ln w="22225">
              <a:solidFill>
                <a:schemeClr val="accent6">
                  <a:lumMod val="75000"/>
                </a:schemeClr>
              </a:solidFill>
              <a:prstDash val="dashDot"/>
            </a:ln>
          </c:spPr>
          <c:marker>
            <c:symbol val="none"/>
          </c:marker>
          <c:xVal>
            <c:numRef>
              <c:f>Overweight!$K$47:$K$69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Overweight!$N$47:$N$69</c:f>
              <c:numCache>
                <c:formatCode>0.0</c:formatCode>
                <c:ptCount val="23"/>
                <c:pt idx="0">
                  <c:v>0.8</c:v>
                </c:pt>
                <c:pt idx="1">
                  <c:v>0.76</c:v>
                </c:pt>
                <c:pt idx="2">
                  <c:v>0.72199999999999998</c:v>
                </c:pt>
                <c:pt idx="3">
                  <c:v>0.68589999999999995</c:v>
                </c:pt>
                <c:pt idx="4">
                  <c:v>0.65160499999999988</c:v>
                </c:pt>
                <c:pt idx="5">
                  <c:v>0.6190247499999999</c:v>
                </c:pt>
                <c:pt idx="6">
                  <c:v>0.58807351249999984</c:v>
                </c:pt>
                <c:pt idx="7">
                  <c:v>0.55866983687499983</c:v>
                </c:pt>
                <c:pt idx="8">
                  <c:v>0.53073634503124978</c:v>
                </c:pt>
                <c:pt idx="9">
                  <c:v>0.50419952777968724</c:v>
                </c:pt>
                <c:pt idx="10">
                  <c:v>0.47898955139070287</c:v>
                </c:pt>
                <c:pt idx="11">
                  <c:v>0.45504007382116773</c:v>
                </c:pt>
                <c:pt idx="12">
                  <c:v>0.43228807013010934</c:v>
                </c:pt>
                <c:pt idx="13">
                  <c:v>0.41067366662360383</c:v>
                </c:pt>
                <c:pt idx="14">
                  <c:v>0.39013998329242361</c:v>
                </c:pt>
                <c:pt idx="15">
                  <c:v>0.37063298412780243</c:v>
                </c:pt>
                <c:pt idx="16">
                  <c:v>0.35210133492141232</c:v>
                </c:pt>
                <c:pt idx="17">
                  <c:v>0.33449626817534167</c:v>
                </c:pt>
                <c:pt idx="18">
                  <c:v>0.31777145476657459</c:v>
                </c:pt>
                <c:pt idx="19">
                  <c:v>0.30188288202824587</c:v>
                </c:pt>
                <c:pt idx="20">
                  <c:v>0.28678873792683357</c:v>
                </c:pt>
                <c:pt idx="21">
                  <c:v>0.27244930103049186</c:v>
                </c:pt>
                <c:pt idx="22">
                  <c:v>#N/A</c:v>
                </c:pt>
              </c:numCache>
            </c:numRef>
          </c:yVal>
          <c:smooth val="0"/>
          <c:extLst>
            <c:ext xmlns:c16="http://schemas.microsoft.com/office/drawing/2014/chart" uri="{C3380CC4-5D6E-409C-BE32-E72D297353CC}">
              <c16:uniqueId val="{00000002-3591-4A3F-9E3C-5422BA132261}"/>
            </c:ext>
          </c:extLst>
        </c:ser>
        <c:ser>
          <c:idx val="3"/>
          <c:order val="3"/>
          <c:tx>
            <c:strRef>
              <c:f>Overweight!$L$46</c:f>
              <c:strCache>
                <c:ptCount val="1"/>
                <c:pt idx="0">
                  <c:v>Current</c:v>
                </c:pt>
              </c:strCache>
            </c:strRef>
          </c:tx>
          <c:spPr>
            <a:ln w="22225">
              <a:solidFill>
                <a:schemeClr val="accent1">
                  <a:lumMod val="75000"/>
                </a:schemeClr>
              </a:solidFill>
              <a:prstDash val="dash"/>
            </a:ln>
          </c:spPr>
          <c:marker>
            <c:symbol val="none"/>
          </c:marker>
          <c:xVal>
            <c:numRef>
              <c:f>Overweight!$K$47:$K$69</c:f>
              <c:numCache>
                <c:formatCode>0</c:formatCod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#N/A</c:v>
                </c:pt>
              </c:numCache>
            </c:numRef>
          </c:xVal>
          <c:yVal>
            <c:numRef>
              <c:f>Overweight!$L$47:$L$69</c:f>
              <c:numCache>
                <c:formatCode>0.0</c:formatCode>
                <c:ptCount val="23"/>
                <c:pt idx="0">
                  <c:v>0.8</c:v>
                </c:pt>
                <c:pt idx="1">
                  <c:v>0.92030460009346471</c:v>
                </c:pt>
                <c:pt idx="2">
                  <c:v>1.05870069619149</c:v>
                </c:pt>
                <c:pt idx="3">
                  <c:v>1.2179089010339772</c:v>
                </c:pt>
                <c:pt idx="4">
                  <c:v>1.4010589551454318</c:v>
                </c:pt>
                <c:pt idx="5">
                  <c:v>1.611751251778105</c:v>
                </c:pt>
                <c:pt idx="6">
                  <c:v>1.8541276140222374</c:v>
                </c:pt>
                <c:pt idx="7">
                  <c:v>2.1329527154312311</c:v>
                </c:pt>
                <c:pt idx="8">
                  <c:v>2.4537077447415108</c:v>
                </c:pt>
                <c:pt idx="9">
                  <c:v>2.8226981559632165</c:v>
                </c:pt>
                <c:pt idx="10">
                  <c:v>3.2471776220103603</c:v>
                </c:pt>
                <c:pt idx="11">
                  <c:v>3.7354906285708651</c:v>
                </c:pt>
                <c:pt idx="12">
                  <c:v>4.2972365113497437</c:v>
                </c:pt>
                <c:pt idx="13">
                  <c:v>4.9434581613559514</c:v>
                </c:pt>
                <c:pt idx="14">
                  <c:v>5.6868591078318289</c:v>
                </c:pt>
                <c:pt idx="15">
                  <c:v>6.5420532462763106</c:v>
                </c:pt>
                <c:pt idx="16">
                  <c:v>7.52585212075559</c:v>
                </c:pt>
                <c:pt idx="17">
                  <c:v>8.6575954079431572</c:v>
                </c:pt>
                <c:pt idx="18">
                  <c:v>9.9595310995976796</c:v>
                </c:pt>
                <c:pt idx="19">
                  <c:v>11.457252857167084</c:v>
                </c:pt>
                <c:pt idx="20">
                  <c:v>13.180203136106075</c:v>
                </c:pt>
                <c:pt idx="21">
                  <c:v>15.162251970405912</c:v>
                </c:pt>
                <c:pt idx="22">
                  <c:v>#N/A</c:v>
                </c:pt>
              </c:numCache>
            </c:numRef>
          </c:yVal>
          <c:smooth val="0"/>
          <c:extLst>
            <c:ext xmlns:c16="http://schemas.microsoft.com/office/drawing/2014/chart" uri="{C3380CC4-5D6E-409C-BE32-E72D297353CC}">
              <c16:uniqueId val="{00000003-3591-4A3F-9E3C-5422BA132261}"/>
            </c:ext>
          </c:extLst>
        </c:ser>
        <c:dLbls>
          <c:showLegendKey val="0"/>
          <c:showVal val="0"/>
          <c:showCatName val="0"/>
          <c:showSerName val="0"/>
          <c:showPercent val="0"/>
          <c:showBubbleSize val="0"/>
        </c:dLbls>
        <c:axId val="91053056"/>
        <c:axId val="91067136"/>
      </c:scatterChart>
      <c:valAx>
        <c:axId val="91053056"/>
        <c:scaling>
          <c:orientation val="minMax"/>
          <c:max val="2030"/>
          <c:min val="1999"/>
        </c:scaling>
        <c:delete val="0"/>
        <c:axPos val="b"/>
        <c:numFmt formatCode="0" sourceLinked="1"/>
        <c:majorTickMark val="out"/>
        <c:minorTickMark val="none"/>
        <c:tickLblPos val="nextTo"/>
        <c:crossAx val="91067136"/>
        <c:crosses val="autoZero"/>
        <c:crossBetween val="midCat"/>
      </c:valAx>
      <c:valAx>
        <c:axId val="91067136"/>
        <c:scaling>
          <c:orientation val="minMax"/>
          <c:min val="0"/>
        </c:scaling>
        <c:delete val="0"/>
        <c:axPos val="l"/>
        <c:majorGridlines/>
        <c:title>
          <c:tx>
            <c:rich>
              <a:bodyPr rot="-5400000" vert="horz"/>
              <a:lstStyle/>
              <a:p>
                <a:pPr>
                  <a:defRPr sz="1400" b="1"/>
                </a:pPr>
                <a:r>
                  <a:rPr lang="en-GB" sz="1400" b="1">
                    <a:latin typeface="Times New Roman" panose="02020603050405020304" pitchFamily="18" charset="0"/>
                    <a:cs typeface="Times New Roman" panose="02020603050405020304" pitchFamily="18" charset="0"/>
                  </a:rPr>
                  <a:t>Overweight (%)</a:t>
                </a:r>
              </a:p>
            </c:rich>
          </c:tx>
          <c:layout>
            <c:manualLayout>
              <c:xMode val="edge"/>
              <c:yMode val="edge"/>
              <c:x val="6.1027459286887254E-4"/>
              <c:y val="0.31064138752619636"/>
            </c:manualLayout>
          </c:layout>
          <c:overlay val="0"/>
        </c:title>
        <c:numFmt formatCode="General" sourceLinked="1"/>
        <c:majorTickMark val="out"/>
        <c:minorTickMark val="none"/>
        <c:tickLblPos val="nextTo"/>
        <c:crossAx val="91053056"/>
        <c:crosses val="autoZero"/>
        <c:crossBetween val="midCat"/>
      </c:valAx>
    </c:plotArea>
    <c:legend>
      <c:legendPos val="b"/>
      <c:layout>
        <c:manualLayout>
          <c:xMode val="edge"/>
          <c:yMode val="edge"/>
          <c:x val="0.13225919340727571"/>
          <c:y val="0.884578965471574"/>
          <c:w val="0.81388502243671157"/>
          <c:h val="0.11412350858953797"/>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43479242514037E-2"/>
          <c:y val="2.3386030212995616E-2"/>
          <c:w val="0.89984827702988734"/>
          <c:h val="0.8129759107106137"/>
        </c:manualLayout>
      </c:layout>
      <c:scatterChart>
        <c:scatterStyle val="lineMarker"/>
        <c:varyColors val="0"/>
        <c:ser>
          <c:idx val="0"/>
          <c:order val="0"/>
          <c:tx>
            <c:strRef>
              <c:f>Wasting!$D$8</c:f>
              <c:strCache>
                <c:ptCount val="1"/>
                <c:pt idx="0">
                  <c:v>Wasting
(%)</c:v>
                </c:pt>
              </c:strCache>
            </c:strRef>
          </c:tx>
          <c:spPr>
            <a:ln w="28575">
              <a:noFill/>
            </a:ln>
          </c:spPr>
          <c:marker>
            <c:symbol val="triangle"/>
            <c:size val="7"/>
            <c:spPr>
              <a:solidFill>
                <a:schemeClr val="tx1"/>
              </a:solidFill>
            </c:spPr>
          </c:marker>
          <c:xVal>
            <c:numRef>
              <c:f>Wasting!$C$9:$C$22</c:f>
              <c:numCache>
                <c:formatCode>0</c:formatCode>
                <c:ptCount val="14"/>
                <c:pt idx="0">
                  <c:v>1987</c:v>
                </c:pt>
                <c:pt idx="1">
                  <c:v>1993</c:v>
                </c:pt>
                <c:pt idx="2">
                  <c:v>1995</c:v>
                </c:pt>
                <c:pt idx="3">
                  <c:v>2000</c:v>
                </c:pt>
                <c:pt idx="4">
                  <c:v>2007</c:v>
                </c:pt>
                <c:pt idx="5">
                  <c:v>2009</c:v>
                </c:pt>
                <c:pt idx="6">
                  <c:v>2012</c:v>
                </c:pt>
                <c:pt idx="7">
                  <c:v>2016</c:v>
                </c:pt>
              </c:numCache>
            </c:numRef>
          </c:xVal>
          <c:yVal>
            <c:numRef>
              <c:f>Wasting!$D$9:$D$22</c:f>
              <c:numCache>
                <c:formatCode>General</c:formatCode>
                <c:ptCount val="14"/>
                <c:pt idx="0">
                  <c:v>14.9</c:v>
                </c:pt>
                <c:pt idx="1">
                  <c:v>17.5</c:v>
                </c:pt>
                <c:pt idx="2">
                  <c:v>15.3</c:v>
                </c:pt>
                <c:pt idx="3">
                  <c:v>15.5</c:v>
                </c:pt>
                <c:pt idx="4">
                  <c:v>14.7</c:v>
                </c:pt>
                <c:pt idx="5">
                  <c:v>11.8</c:v>
                </c:pt>
                <c:pt idx="6">
                  <c:v>21.4</c:v>
                </c:pt>
                <c:pt idx="7">
                  <c:v>15.1</c:v>
                </c:pt>
              </c:numCache>
            </c:numRef>
          </c:yVal>
          <c:smooth val="0"/>
          <c:extLst>
            <c:ext xmlns:c16="http://schemas.microsoft.com/office/drawing/2014/chart" uri="{C3380CC4-5D6E-409C-BE32-E72D297353CC}">
              <c16:uniqueId val="{00000000-3440-4B18-A3AE-B8E17A4B1B77}"/>
            </c:ext>
          </c:extLst>
        </c:ser>
        <c:ser>
          <c:idx val="1"/>
          <c:order val="1"/>
          <c:tx>
            <c:strRef>
              <c:f>Wasting!$L$37</c:f>
              <c:strCache>
                <c:ptCount val="1"/>
                <c:pt idx="0">
                  <c:v>Target</c:v>
                </c:pt>
              </c:strCache>
            </c:strRef>
          </c:tx>
          <c:spPr>
            <a:ln w="41275">
              <a:solidFill>
                <a:schemeClr val="accent3">
                  <a:lumMod val="75000"/>
                </a:schemeClr>
              </a:solidFill>
              <a:prstDash val="dash"/>
            </a:ln>
          </c:spPr>
          <c:marker>
            <c:symbol val="none"/>
          </c:marker>
          <c:xVal>
            <c:numRef>
              <c:f>Wasting!$K$38:$K$42</c:f>
              <c:numCache>
                <c:formatCode>0</c:formatCode>
                <c:ptCount val="5"/>
                <c:pt idx="0">
                  <c:v>2012</c:v>
                </c:pt>
                <c:pt idx="1">
                  <c:v>2025</c:v>
                </c:pt>
                <c:pt idx="3" formatCode="General">
                  <c:v>2025</c:v>
                </c:pt>
                <c:pt idx="4" formatCode="General">
                  <c:v>2030</c:v>
                </c:pt>
              </c:numCache>
            </c:numRef>
          </c:xVal>
          <c:yVal>
            <c:numRef>
              <c:f>Wasting!$L$38:$L$42</c:f>
              <c:numCache>
                <c:formatCode>0.0</c:formatCode>
                <c:ptCount val="5"/>
                <c:pt idx="0">
                  <c:v>5</c:v>
                </c:pt>
                <c:pt idx="1">
                  <c:v>5</c:v>
                </c:pt>
                <c:pt idx="3">
                  <c:v>3</c:v>
                </c:pt>
                <c:pt idx="4">
                  <c:v>3</c:v>
                </c:pt>
              </c:numCache>
            </c:numRef>
          </c:yVal>
          <c:smooth val="0"/>
          <c:extLst>
            <c:ext xmlns:c16="http://schemas.microsoft.com/office/drawing/2014/chart" uri="{C3380CC4-5D6E-409C-BE32-E72D297353CC}">
              <c16:uniqueId val="{00000001-3440-4B18-A3AE-B8E17A4B1B77}"/>
            </c:ext>
          </c:extLst>
        </c:ser>
        <c:dLbls>
          <c:showLegendKey val="0"/>
          <c:showVal val="0"/>
          <c:showCatName val="0"/>
          <c:showSerName val="0"/>
          <c:showPercent val="0"/>
          <c:showBubbleSize val="0"/>
        </c:dLbls>
        <c:axId val="94234112"/>
        <c:axId val="94235648"/>
      </c:scatterChart>
      <c:valAx>
        <c:axId val="94234112"/>
        <c:scaling>
          <c:orientation val="minMax"/>
          <c:max val="2030"/>
          <c:min val="1999"/>
        </c:scaling>
        <c:delete val="0"/>
        <c:axPos val="b"/>
        <c:numFmt formatCode="0" sourceLinked="1"/>
        <c:majorTickMark val="out"/>
        <c:minorTickMark val="none"/>
        <c:tickLblPos val="nextTo"/>
        <c:crossAx val="94235648"/>
        <c:crosses val="autoZero"/>
        <c:crossBetween val="midCat"/>
      </c:valAx>
      <c:valAx>
        <c:axId val="94235648"/>
        <c:scaling>
          <c:orientation val="minMax"/>
          <c:min val="0"/>
        </c:scaling>
        <c:delete val="0"/>
        <c:axPos val="l"/>
        <c:majorGridlines>
          <c:spPr>
            <a:ln w="15875"/>
          </c:spPr>
        </c:majorGridlines>
        <c:title>
          <c:tx>
            <c:rich>
              <a:bodyPr rot="-5400000" vert="horz"/>
              <a:lstStyle/>
              <a:p>
                <a:pPr>
                  <a:defRPr sz="1400" b="1"/>
                </a:pPr>
                <a:r>
                  <a:rPr lang="en-GB" sz="1400" b="1">
                    <a:latin typeface="Times New Roman" panose="02020603050405020304" pitchFamily="18" charset="0"/>
                    <a:cs typeface="Times New Roman" panose="02020603050405020304" pitchFamily="18" charset="0"/>
                  </a:rPr>
                  <a:t>Wasting (%)</a:t>
                </a:r>
              </a:p>
            </c:rich>
          </c:tx>
          <c:layout>
            <c:manualLayout>
              <c:xMode val="edge"/>
              <c:yMode val="edge"/>
              <c:x val="6.1027459286887254E-4"/>
              <c:y val="0.31064138752619636"/>
            </c:manualLayout>
          </c:layout>
          <c:overlay val="0"/>
        </c:title>
        <c:numFmt formatCode="General" sourceLinked="1"/>
        <c:majorTickMark val="out"/>
        <c:minorTickMark val="none"/>
        <c:tickLblPos val="nextTo"/>
        <c:crossAx val="94234112"/>
        <c:crosses val="autoZero"/>
        <c:crossBetween val="midCat"/>
      </c:valAx>
    </c:plotArea>
    <c:legend>
      <c:legendPos val="b"/>
      <c:layout>
        <c:manualLayout>
          <c:xMode val="edge"/>
          <c:yMode val="edge"/>
          <c:x val="0.13225919340727571"/>
          <c:y val="0.884578965471574"/>
          <c:w val="0.81388502243671157"/>
          <c:h val="0.1141235085895379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1000125</xdr:colOff>
      <xdr:row>40</xdr:row>
      <xdr:rowOff>142874</xdr:rowOff>
    </xdr:from>
    <xdr:to>
      <xdr:col>9</xdr:col>
      <xdr:colOff>676275</xdr:colOff>
      <xdr:row>69</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24</xdr:row>
      <xdr:rowOff>47625</xdr:rowOff>
    </xdr:from>
    <xdr:to>
      <xdr:col>10</xdr:col>
      <xdr:colOff>457201</xdr:colOff>
      <xdr:row>26</xdr:row>
      <xdr:rowOff>137010</xdr:rowOff>
    </xdr:to>
    <xdr:sp macro="" textlink="">
      <xdr:nvSpPr>
        <xdr:cNvPr id="3" name="Text Box 1052">
          <a:extLst>
            <a:ext uri="{FF2B5EF4-FFF2-40B4-BE49-F238E27FC236}">
              <a16:creationId xmlns:a16="http://schemas.microsoft.com/office/drawing/2014/main" id="{00000000-0008-0000-0000-000003000000}"/>
            </a:ext>
          </a:extLst>
        </xdr:cNvPr>
        <xdr:cNvSpPr txBox="1"/>
      </xdr:nvSpPr>
      <xdr:spPr>
        <a:xfrm>
          <a:off x="2647950" y="5448300"/>
          <a:ext cx="7191376" cy="470385"/>
        </a:xfrm>
        <a:prstGeom prst="rect">
          <a:avLst/>
        </a:prstGeom>
        <a:solidFill>
          <a:srgbClr val="FFFFCC"/>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15000"/>
            </a:lnSpc>
            <a:spcAft>
              <a:spcPts val="0"/>
            </a:spcAft>
          </a:pPr>
          <a:r>
            <a:rPr lang="en-GB" sz="1100" b="1">
              <a:effectLst/>
              <a:highlight>
                <a:srgbClr val="FFFF00"/>
              </a:highlight>
              <a:latin typeface="Calibri"/>
              <a:ea typeface="SimSun"/>
              <a:cs typeface="Arial"/>
            </a:rPr>
            <a:t>!</a:t>
          </a:r>
          <a:r>
            <a:rPr lang="en-GB" sz="1100" b="1">
              <a:effectLst/>
              <a:latin typeface="Calibri"/>
              <a:ea typeface="SimSun"/>
              <a:cs typeface="Arial"/>
            </a:rPr>
            <a:t> </a:t>
          </a:r>
          <a:r>
            <a:rPr lang="en-GB" sz="1050" b="1">
              <a:effectLst/>
              <a:latin typeface="Calibri"/>
              <a:ea typeface="SimSun"/>
              <a:cs typeface="Arial"/>
            </a:rPr>
            <a:t>Warning</a:t>
          </a:r>
          <a:r>
            <a:rPr lang="en-GB" sz="1100" b="1">
              <a:effectLst/>
              <a:latin typeface="Calibri"/>
              <a:ea typeface="SimSun"/>
              <a:cs typeface="Arial"/>
            </a:rPr>
            <a:t>: </a:t>
          </a:r>
          <a:r>
            <a:rPr lang="en-GB" sz="1000" b="1" baseline="0">
              <a:effectLst/>
              <a:latin typeface="Calibri"/>
              <a:ea typeface="SimSun"/>
              <a:cs typeface="Arial"/>
            </a:rPr>
            <a:t>Current AARR is available for countries with two or more data points since 2008; when the number of points included in the calculation of the current AARR is low (n&lt;3), estimation of the current progress is unstable</a:t>
          </a:r>
          <a:r>
            <a:rPr lang="en-GB" sz="1000" b="1">
              <a:effectLst/>
              <a:latin typeface="Calibri"/>
              <a:ea typeface="SimSun"/>
              <a:cs typeface="Arial"/>
            </a:rPr>
            <a:t>. </a:t>
          </a:r>
          <a:endParaRPr lang="en-US" sz="1100">
            <a:effectLst/>
            <a:latin typeface="Calibri"/>
            <a:ea typeface="SimSun"/>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23</xdr:row>
      <xdr:rowOff>19050</xdr:rowOff>
    </xdr:from>
    <xdr:to>
      <xdr:col>10</xdr:col>
      <xdr:colOff>666750</xdr:colOff>
      <xdr:row>27</xdr:row>
      <xdr:rowOff>87406</xdr:rowOff>
    </xdr:to>
    <xdr:sp macro="" textlink="">
      <xdr:nvSpPr>
        <xdr:cNvPr id="2" name="Text Box 1052">
          <a:extLst>
            <a:ext uri="{FF2B5EF4-FFF2-40B4-BE49-F238E27FC236}">
              <a16:creationId xmlns:a16="http://schemas.microsoft.com/office/drawing/2014/main" id="{00000000-0008-0000-0200-000002000000}"/>
            </a:ext>
          </a:extLst>
        </xdr:cNvPr>
        <xdr:cNvSpPr txBox="1"/>
      </xdr:nvSpPr>
      <xdr:spPr>
        <a:xfrm>
          <a:off x="2666999" y="5276850"/>
          <a:ext cx="7191376" cy="830356"/>
        </a:xfrm>
        <a:prstGeom prst="rect">
          <a:avLst/>
        </a:prstGeom>
        <a:solidFill>
          <a:srgbClr val="FFFFCC"/>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15000"/>
            </a:lnSpc>
            <a:spcAft>
              <a:spcPts val="0"/>
            </a:spcAft>
          </a:pPr>
          <a:r>
            <a:rPr lang="en-GB" sz="1100" b="1">
              <a:effectLst/>
              <a:highlight>
                <a:srgbClr val="FFFF00"/>
              </a:highlight>
              <a:latin typeface="Calibri"/>
              <a:ea typeface="SimSun"/>
              <a:cs typeface="Arial"/>
            </a:rPr>
            <a:t>!</a:t>
          </a:r>
          <a:r>
            <a:rPr lang="en-GB" sz="1100" b="1">
              <a:effectLst/>
              <a:latin typeface="Calibri"/>
              <a:ea typeface="SimSun"/>
              <a:cs typeface="Arial"/>
            </a:rPr>
            <a:t> </a:t>
          </a:r>
          <a:r>
            <a:rPr lang="en-GB" sz="1050" b="1">
              <a:effectLst/>
              <a:latin typeface="Calibri"/>
              <a:ea typeface="SimSun"/>
              <a:cs typeface="Arial"/>
            </a:rPr>
            <a:t>Warning</a:t>
          </a:r>
          <a:r>
            <a:rPr lang="en-GB" sz="1100" b="1">
              <a:effectLst/>
              <a:latin typeface="Calibri"/>
              <a:ea typeface="SimSun"/>
              <a:cs typeface="Arial"/>
            </a:rPr>
            <a:t>: </a:t>
          </a:r>
          <a:r>
            <a:rPr lang="en-GB" sz="1000" b="1" baseline="0">
              <a:effectLst/>
              <a:latin typeface="Calibri"/>
              <a:ea typeface="SimSun"/>
              <a:cs typeface="Arial"/>
            </a:rPr>
            <a:t>Current AARR is available for countries with two or more data points since 2008; when the number of points included in the calculation of the current AARR is low (n&lt;3), estimation of the current progress is unstable</a:t>
          </a:r>
          <a:r>
            <a:rPr lang="en-GB" sz="1000" b="1">
              <a:effectLst/>
              <a:latin typeface="Calibri"/>
              <a:ea typeface="SimSun"/>
              <a:cs typeface="Arial"/>
            </a:rPr>
            <a:t>. Also, when overweight rates are low, current AARR estimates may exagerate rates of</a:t>
          </a:r>
          <a:r>
            <a:rPr lang="en-GB" sz="1000" b="1" baseline="0">
              <a:effectLst/>
              <a:latin typeface="Calibri"/>
              <a:ea typeface="SimSun"/>
              <a:cs typeface="Arial"/>
            </a:rPr>
            <a:t> changes (even small increases in percent points can represent large relative increases), leading to predictions towards 2025 and 2030 to be unrealistic.</a:t>
          </a:r>
          <a:endParaRPr lang="en-US" sz="1100">
            <a:effectLst/>
            <a:latin typeface="Calibri"/>
            <a:ea typeface="SimSun"/>
            <a:cs typeface="Arial"/>
          </a:endParaRPr>
        </a:p>
      </xdr:txBody>
    </xdr:sp>
    <xdr:clientData/>
  </xdr:twoCellAnchor>
  <xdr:twoCellAnchor>
    <xdr:from>
      <xdr:col>0</xdr:col>
      <xdr:colOff>704850</xdr:colOff>
      <xdr:row>40</xdr:row>
      <xdr:rowOff>171450</xdr:rowOff>
    </xdr:from>
    <xdr:to>
      <xdr:col>9</xdr:col>
      <xdr:colOff>571500</xdr:colOff>
      <xdr:row>69</xdr:row>
      <xdr:rowOff>142876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28574</xdr:colOff>
      <xdr:row>23</xdr:row>
      <xdr:rowOff>19050</xdr:rowOff>
    </xdr:from>
    <xdr:to>
      <xdr:col>9</xdr:col>
      <xdr:colOff>628649</xdr:colOff>
      <xdr:row>26</xdr:row>
      <xdr:rowOff>97921</xdr:rowOff>
    </xdr:to>
    <xdr:sp macro="" textlink="">
      <xdr:nvSpPr>
        <xdr:cNvPr id="3" name="Text Box 1052">
          <a:extLst>
            <a:ext uri="{FF2B5EF4-FFF2-40B4-BE49-F238E27FC236}">
              <a16:creationId xmlns:a16="http://schemas.microsoft.com/office/drawing/2014/main" id="{00000000-0008-0000-0400-000003000000}"/>
            </a:ext>
          </a:extLst>
        </xdr:cNvPr>
        <xdr:cNvSpPr txBox="1"/>
      </xdr:nvSpPr>
      <xdr:spPr>
        <a:xfrm>
          <a:off x="2666999" y="5276850"/>
          <a:ext cx="6238875" cy="650371"/>
        </a:xfrm>
        <a:prstGeom prst="rect">
          <a:avLst/>
        </a:prstGeom>
        <a:solidFill>
          <a:srgbClr val="FFFFCC"/>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15000"/>
            </a:lnSpc>
            <a:spcAft>
              <a:spcPts val="0"/>
            </a:spcAft>
          </a:pPr>
          <a:r>
            <a:rPr lang="en-GB" sz="1100" b="1">
              <a:effectLst/>
              <a:highlight>
                <a:srgbClr val="FFFF00"/>
              </a:highlight>
              <a:latin typeface="Calibri"/>
              <a:ea typeface="SimSun"/>
              <a:cs typeface="Arial"/>
            </a:rPr>
            <a:t>!</a:t>
          </a:r>
          <a:r>
            <a:rPr lang="en-GB" sz="1100" b="1">
              <a:effectLst/>
              <a:latin typeface="Calibri"/>
              <a:ea typeface="SimSun"/>
              <a:cs typeface="Arial"/>
            </a:rPr>
            <a:t> </a:t>
          </a:r>
          <a:r>
            <a:rPr lang="en-GB" sz="1050" b="1">
              <a:effectLst/>
              <a:latin typeface="Calibri"/>
              <a:ea typeface="SimSun"/>
              <a:cs typeface="Arial"/>
            </a:rPr>
            <a:t>Disclaimer</a:t>
          </a:r>
          <a:r>
            <a:rPr lang="en-GB" sz="1100" b="1">
              <a:effectLst/>
              <a:latin typeface="Calibri"/>
              <a:ea typeface="SimSun"/>
              <a:cs typeface="Arial"/>
            </a:rPr>
            <a:t>: </a:t>
          </a:r>
          <a:r>
            <a:rPr lang="en-GB" sz="1000" b="1">
              <a:effectLst/>
              <a:latin typeface="Calibri"/>
              <a:ea typeface="SimSun"/>
              <a:cs typeface="Arial"/>
            </a:rPr>
            <a:t>There is no What-if calculator for child wasting as this indicator is prone to sudden changes and thus national trends are not meaningful. The AARR estimate</a:t>
          </a:r>
          <a:r>
            <a:rPr lang="en-GB" sz="1000" b="1" baseline="0">
              <a:effectLst/>
              <a:latin typeface="Calibri"/>
              <a:ea typeface="SimSun"/>
              <a:cs typeface="Arial"/>
            </a:rPr>
            <a:t> should be interpreted with caution. </a:t>
          </a:r>
          <a:r>
            <a:rPr lang="en-GB" sz="1000" b="1">
              <a:effectLst/>
              <a:latin typeface="Calibri"/>
              <a:ea typeface="SimSun"/>
              <a:cs typeface="Arial"/>
            </a:rPr>
            <a:t>Countries should aim to reach the level of 5% as early as possible and keep rates below that threshold  throughout.</a:t>
          </a:r>
          <a:endParaRPr lang="en-US" sz="1100">
            <a:effectLst/>
            <a:latin typeface="Calibri"/>
            <a:ea typeface="SimSun"/>
            <a:cs typeface="Arial"/>
          </a:endParaRPr>
        </a:p>
      </xdr:txBody>
    </xdr:sp>
    <xdr:clientData/>
  </xdr:twoCellAnchor>
  <xdr:twoCellAnchor>
    <xdr:from>
      <xdr:col>0</xdr:col>
      <xdr:colOff>704850</xdr:colOff>
      <xdr:row>35</xdr:row>
      <xdr:rowOff>171450</xdr:rowOff>
    </xdr:from>
    <xdr:to>
      <xdr:col>9</xdr:col>
      <xdr:colOff>571500</xdr:colOff>
      <xdr:row>64</xdr:row>
      <xdr:rowOff>142876</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goo.gl/rEy2Jm" TargetMode="External"/><Relationship Id="rId2" Type="http://schemas.openxmlformats.org/officeDocument/2006/relationships/hyperlink" Target="https://goo.gl/n5quMK" TargetMode="External"/><Relationship Id="rId1" Type="http://schemas.openxmlformats.org/officeDocument/2006/relationships/hyperlink" Target="https://goo.gl/21J8rE" TargetMode="External"/><Relationship Id="rId5" Type="http://schemas.openxmlformats.org/officeDocument/2006/relationships/hyperlink" Target="https://goo.gl/EeQjsE" TargetMode="External"/><Relationship Id="rId4" Type="http://schemas.openxmlformats.org/officeDocument/2006/relationships/hyperlink" Target="https://goo.gl/Qim4y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9"/>
  <sheetViews>
    <sheetView workbookViewId="0">
      <selection activeCell="A2" sqref="A2"/>
    </sheetView>
  </sheetViews>
  <sheetFormatPr defaultRowHeight="15" x14ac:dyDescent="0.25"/>
  <cols>
    <col min="1" max="1" width="16.7109375" customWidth="1"/>
    <col min="2" max="3" width="11.42578125" customWidth="1"/>
    <col min="4" max="4" width="12.28515625" customWidth="1"/>
    <col min="5" max="5" width="15.7109375" customWidth="1"/>
    <col min="6" max="6" width="16.42578125" customWidth="1"/>
    <col min="7" max="7" width="14" customWidth="1"/>
    <col min="8" max="8" width="16.140625" customWidth="1"/>
    <col min="9" max="9" width="12.85546875" customWidth="1"/>
    <col min="10" max="10" width="13.7109375" customWidth="1"/>
    <col min="11" max="16" width="13.42578125" customWidth="1"/>
    <col min="17" max="17" width="15.42578125" customWidth="1"/>
    <col min="18" max="18" width="14.140625" customWidth="1"/>
    <col min="19" max="19" width="12.7109375" customWidth="1"/>
    <col min="20" max="20" width="14.140625" customWidth="1"/>
    <col min="21" max="21" width="14.5703125" customWidth="1"/>
  </cols>
  <sheetData>
    <row r="1" spans="1:16" ht="26.25" x14ac:dyDescent="0.4">
      <c r="A1" s="26" t="s">
        <v>74</v>
      </c>
    </row>
    <row r="2" spans="1:16" ht="26.25" x14ac:dyDescent="0.4">
      <c r="A2" s="26"/>
    </row>
    <row r="3" spans="1:16" ht="18.75" x14ac:dyDescent="0.3">
      <c r="A3" s="52" t="s">
        <v>24</v>
      </c>
      <c r="B3" s="53"/>
      <c r="C3" s="53"/>
      <c r="D3" s="53"/>
      <c r="E3" s="53"/>
    </row>
    <row r="4" spans="1:16" x14ac:dyDescent="0.25">
      <c r="A4" s="16"/>
    </row>
    <row r="5" spans="1:16" x14ac:dyDescent="0.25">
      <c r="A5" s="16"/>
    </row>
    <row r="6" spans="1:16" ht="18.75" x14ac:dyDescent="0.3">
      <c r="A6" s="21" t="s">
        <v>11</v>
      </c>
      <c r="G6" t="s">
        <v>13</v>
      </c>
    </row>
    <row r="7" spans="1:16" ht="18.75" x14ac:dyDescent="0.3">
      <c r="A7" s="21"/>
      <c r="K7" s="22"/>
      <c r="L7" s="22"/>
      <c r="M7" s="22"/>
      <c r="N7" s="22"/>
      <c r="O7" s="22"/>
      <c r="P7" s="22"/>
    </row>
    <row r="8" spans="1:16" ht="46.5" customHeight="1" x14ac:dyDescent="0.25">
      <c r="A8" s="27" t="s">
        <v>12</v>
      </c>
      <c r="B8" s="27" t="s">
        <v>39</v>
      </c>
      <c r="C8" s="28" t="s">
        <v>0</v>
      </c>
      <c r="D8" s="74" t="s">
        <v>46</v>
      </c>
      <c r="E8" s="74" t="s">
        <v>35</v>
      </c>
      <c r="G8" s="28" t="s">
        <v>0</v>
      </c>
      <c r="H8" s="74" t="s">
        <v>46</v>
      </c>
      <c r="I8" s="28" t="s">
        <v>14</v>
      </c>
    </row>
    <row r="9" spans="1:16" x14ac:dyDescent="0.25">
      <c r="A9" s="61" t="s">
        <v>54</v>
      </c>
      <c r="B9" s="61" t="s">
        <v>55</v>
      </c>
      <c r="C9" s="62">
        <v>1987</v>
      </c>
      <c r="D9" s="61">
        <v>32.299999999999997</v>
      </c>
      <c r="E9" s="63">
        <v>1883.7030000000002</v>
      </c>
      <c r="G9" s="33" t="str">
        <f t="shared" ref="G9:G22" si="0">IF(ISBLANK(C9),"",IF(C9&gt;=2008,C9,""))</f>
        <v/>
      </c>
      <c r="H9" s="34" t="str">
        <f t="shared" ref="H9:H22" si="1">IF(ISBLANK(D9),"",IF(C9&gt;=2008,D9,""))</f>
        <v/>
      </c>
      <c r="I9" s="35" t="str">
        <f t="shared" ref="I9:I22" si="2">IFERROR(IF(H9&gt;0,LN(H9),""),"")</f>
        <v/>
      </c>
    </row>
    <row r="10" spans="1:16" x14ac:dyDescent="0.25">
      <c r="A10" s="61" t="s">
        <v>54</v>
      </c>
      <c r="B10" s="61" t="s">
        <v>56</v>
      </c>
      <c r="C10" s="62">
        <v>1993</v>
      </c>
      <c r="D10" s="61">
        <v>29.7</v>
      </c>
      <c r="E10" s="63">
        <v>1723.8450000000003</v>
      </c>
      <c r="G10" s="33" t="str">
        <f t="shared" si="0"/>
        <v/>
      </c>
      <c r="H10" s="34" t="str">
        <f t="shared" si="1"/>
        <v/>
      </c>
      <c r="I10" s="35" t="str">
        <f t="shared" si="2"/>
        <v/>
      </c>
    </row>
    <row r="11" spans="1:16" x14ac:dyDescent="0.25">
      <c r="A11" s="61" t="s">
        <v>54</v>
      </c>
      <c r="B11" s="64" t="s">
        <v>57</v>
      </c>
      <c r="C11" s="62">
        <v>1995</v>
      </c>
      <c r="D11" s="61">
        <v>26.1</v>
      </c>
      <c r="E11" s="63">
        <v>1716.653</v>
      </c>
      <c r="G11" s="33" t="str">
        <f t="shared" si="0"/>
        <v/>
      </c>
      <c r="H11" s="34" t="str">
        <f t="shared" si="1"/>
        <v/>
      </c>
      <c r="I11" s="35" t="str">
        <f t="shared" si="2"/>
        <v/>
      </c>
    </row>
    <row r="12" spans="1:16" x14ac:dyDescent="0.25">
      <c r="A12" s="61" t="s">
        <v>54</v>
      </c>
      <c r="B12" s="64" t="s">
        <v>58</v>
      </c>
      <c r="C12" s="62">
        <v>2000</v>
      </c>
      <c r="D12" s="61">
        <v>18.399999999999999</v>
      </c>
      <c r="E12" s="63">
        <v>1641.607</v>
      </c>
      <c r="G12" s="33" t="str">
        <f t="shared" si="0"/>
        <v/>
      </c>
      <c r="H12" s="34" t="str">
        <f t="shared" si="1"/>
        <v/>
      </c>
      <c r="I12" s="35" t="str">
        <f t="shared" si="2"/>
        <v/>
      </c>
    </row>
    <row r="13" spans="1:16" x14ac:dyDescent="0.25">
      <c r="A13" s="61" t="s">
        <v>54</v>
      </c>
      <c r="B13" s="64" t="s">
        <v>59</v>
      </c>
      <c r="C13" s="62">
        <v>2007</v>
      </c>
      <c r="D13" s="61">
        <v>17.3</v>
      </c>
      <c r="E13" s="63">
        <v>1797.145</v>
      </c>
      <c r="G13" s="33" t="str">
        <f t="shared" si="0"/>
        <v/>
      </c>
      <c r="H13" s="34" t="str">
        <f t="shared" si="1"/>
        <v/>
      </c>
      <c r="I13" s="35" t="str">
        <f t="shared" si="2"/>
        <v/>
      </c>
    </row>
    <row r="14" spans="1:16" x14ac:dyDescent="0.25">
      <c r="A14" s="61" t="s">
        <v>54</v>
      </c>
      <c r="B14" s="64" t="s">
        <v>60</v>
      </c>
      <c r="C14" s="62">
        <v>2009</v>
      </c>
      <c r="D14" s="61">
        <v>19.2</v>
      </c>
      <c r="E14" s="63">
        <v>1797.296</v>
      </c>
      <c r="G14" s="33">
        <f t="shared" si="0"/>
        <v>2009</v>
      </c>
      <c r="H14" s="34">
        <f t="shared" si="1"/>
        <v>19.2</v>
      </c>
      <c r="I14" s="35">
        <f t="shared" si="2"/>
        <v>2.954910279033736</v>
      </c>
    </row>
    <row r="15" spans="1:16" x14ac:dyDescent="0.25">
      <c r="A15" s="61" t="s">
        <v>54</v>
      </c>
      <c r="B15" s="64" t="s">
        <v>61</v>
      </c>
      <c r="C15" s="62">
        <v>2012</v>
      </c>
      <c r="D15" s="61">
        <v>14.7</v>
      </c>
      <c r="E15" s="63">
        <v>1743.692</v>
      </c>
      <c r="G15" s="33">
        <f t="shared" si="0"/>
        <v>2012</v>
      </c>
      <c r="H15" s="34">
        <f t="shared" si="1"/>
        <v>14.7</v>
      </c>
      <c r="I15" s="35">
        <f t="shared" si="2"/>
        <v>2.6878474937846906</v>
      </c>
    </row>
    <row r="16" spans="1:16" x14ac:dyDescent="0.25">
      <c r="A16" s="61" t="s">
        <v>54</v>
      </c>
      <c r="B16" s="64">
        <v>2016</v>
      </c>
      <c r="C16" s="62">
        <v>2016</v>
      </c>
      <c r="D16" s="61">
        <v>17.3</v>
      </c>
      <c r="E16" s="63">
        <v>1601.546</v>
      </c>
      <c r="G16" s="33">
        <f t="shared" si="0"/>
        <v>2016</v>
      </c>
      <c r="H16" s="34">
        <f t="shared" si="1"/>
        <v>17.3</v>
      </c>
      <c r="I16" s="35">
        <f t="shared" si="2"/>
        <v>2.8507065015037334</v>
      </c>
      <c r="L16" s="29"/>
    </row>
    <row r="17" spans="1:20" x14ac:dyDescent="0.25">
      <c r="A17" s="61"/>
      <c r="B17" s="64"/>
      <c r="C17" s="65"/>
      <c r="D17" s="61"/>
      <c r="E17" s="63"/>
      <c r="G17" s="33" t="str">
        <f t="shared" si="0"/>
        <v/>
      </c>
      <c r="H17" s="34" t="str">
        <f t="shared" si="1"/>
        <v/>
      </c>
      <c r="I17" s="35" t="str">
        <f t="shared" si="2"/>
        <v/>
      </c>
    </row>
    <row r="18" spans="1:20" x14ac:dyDescent="0.25">
      <c r="A18" s="61"/>
      <c r="B18" s="64"/>
      <c r="C18" s="65"/>
      <c r="D18" s="61"/>
      <c r="E18" s="63"/>
      <c r="G18" s="33" t="str">
        <f t="shared" si="0"/>
        <v/>
      </c>
      <c r="H18" s="34" t="str">
        <f t="shared" si="1"/>
        <v/>
      </c>
      <c r="I18" s="35" t="str">
        <f t="shared" si="2"/>
        <v/>
      </c>
    </row>
    <row r="19" spans="1:20" x14ac:dyDescent="0.25">
      <c r="A19" s="61"/>
      <c r="B19" s="64"/>
      <c r="C19" s="65"/>
      <c r="D19" s="61"/>
      <c r="E19" s="63"/>
      <c r="G19" s="33" t="str">
        <f t="shared" si="0"/>
        <v/>
      </c>
      <c r="H19" s="34" t="str">
        <f t="shared" si="1"/>
        <v/>
      </c>
      <c r="I19" s="35" t="str">
        <f t="shared" si="2"/>
        <v/>
      </c>
    </row>
    <row r="20" spans="1:20" x14ac:dyDescent="0.25">
      <c r="A20" s="61"/>
      <c r="B20" s="64"/>
      <c r="C20" s="65"/>
      <c r="D20" s="61"/>
      <c r="E20" s="63"/>
      <c r="G20" s="33" t="str">
        <f t="shared" si="0"/>
        <v/>
      </c>
      <c r="H20" s="34" t="str">
        <f t="shared" si="1"/>
        <v/>
      </c>
      <c r="I20" s="35" t="str">
        <f t="shared" si="2"/>
        <v/>
      </c>
    </row>
    <row r="21" spans="1:20" x14ac:dyDescent="0.25">
      <c r="A21" s="61"/>
      <c r="B21" s="64"/>
      <c r="C21" s="65"/>
      <c r="D21" s="61"/>
      <c r="E21" s="63"/>
      <c r="G21" s="33" t="str">
        <f t="shared" si="0"/>
        <v/>
      </c>
      <c r="H21" s="34" t="str">
        <f t="shared" si="1"/>
        <v/>
      </c>
      <c r="I21" s="35" t="str">
        <f t="shared" si="2"/>
        <v/>
      </c>
    </row>
    <row r="22" spans="1:20" x14ac:dyDescent="0.25">
      <c r="A22" s="61"/>
      <c r="B22" s="64"/>
      <c r="C22" s="65"/>
      <c r="D22" s="61"/>
      <c r="E22" s="63"/>
      <c r="G22" s="33" t="str">
        <f t="shared" si="0"/>
        <v/>
      </c>
      <c r="H22" s="34" t="str">
        <f t="shared" si="1"/>
        <v/>
      </c>
      <c r="I22" s="35" t="str">
        <f t="shared" si="2"/>
        <v/>
      </c>
    </row>
    <row r="23" spans="1:20" x14ac:dyDescent="0.25">
      <c r="F23" s="22"/>
      <c r="G23" s="22"/>
      <c r="H23" s="22"/>
      <c r="I23" s="25"/>
      <c r="J23" s="22"/>
      <c r="K23" s="22"/>
    </row>
    <row r="24" spans="1:20" x14ac:dyDescent="0.25">
      <c r="F24" s="22"/>
      <c r="G24" s="22"/>
      <c r="H24" s="22"/>
      <c r="I24" s="25"/>
      <c r="J24" s="22"/>
      <c r="K24" s="22"/>
    </row>
    <row r="26" spans="1:20" x14ac:dyDescent="0.25">
      <c r="A26" s="36" t="s">
        <v>6</v>
      </c>
      <c r="B26" s="37">
        <f>100*(1-EXP(SLOPE(IF(ISNA(I9:I22),"",I9:I22),IF(ISNA(G9:G22),"",G9:G22))))</f>
        <v>1.1810496195554188</v>
      </c>
    </row>
    <row r="28" spans="1:20" ht="15.75" thickBot="1" x14ac:dyDescent="0.3">
      <c r="Q28" s="24"/>
      <c r="R28" s="24"/>
      <c r="S28" s="24"/>
      <c r="T28" s="24"/>
    </row>
    <row r="29" spans="1:20" ht="15.75" thickBot="1" x14ac:dyDescent="0.3">
      <c r="A29" s="88" t="s">
        <v>12</v>
      </c>
      <c r="B29" s="90" t="s">
        <v>15</v>
      </c>
      <c r="C29" s="90"/>
      <c r="D29" s="90"/>
      <c r="E29" s="91"/>
      <c r="F29" s="93" t="s">
        <v>8</v>
      </c>
      <c r="G29" s="94"/>
      <c r="H29" s="94"/>
      <c r="I29" s="94"/>
      <c r="J29" s="95"/>
      <c r="K29" s="99" t="s">
        <v>53</v>
      </c>
      <c r="L29" s="100"/>
      <c r="M29" s="100"/>
      <c r="N29" s="100"/>
      <c r="O29" s="101"/>
      <c r="P29" s="30"/>
      <c r="Q29" s="92"/>
      <c r="R29" s="92"/>
      <c r="S29" s="92"/>
      <c r="T29" s="92"/>
    </row>
    <row r="30" spans="1:20" ht="102.75" thickBot="1" x14ac:dyDescent="0.3">
      <c r="A30" s="89"/>
      <c r="B30" s="23" t="s">
        <v>38</v>
      </c>
      <c r="C30" s="1" t="s">
        <v>36</v>
      </c>
      <c r="D30" s="1" t="s">
        <v>1</v>
      </c>
      <c r="E30" s="2" t="s">
        <v>2</v>
      </c>
      <c r="F30" s="3" t="s">
        <v>41</v>
      </c>
      <c r="G30" s="1" t="s">
        <v>3</v>
      </c>
      <c r="H30" s="3" t="s">
        <v>4</v>
      </c>
      <c r="I30" s="3" t="s">
        <v>5</v>
      </c>
      <c r="J30" s="5" t="s">
        <v>37</v>
      </c>
      <c r="K30" s="3" t="s">
        <v>41</v>
      </c>
      <c r="L30" s="1" t="s">
        <v>3</v>
      </c>
      <c r="M30" s="3" t="s">
        <v>4</v>
      </c>
      <c r="N30" s="3" t="s">
        <v>5</v>
      </c>
      <c r="O30" s="5" t="s">
        <v>37</v>
      </c>
      <c r="Q30" s="24"/>
      <c r="R30" s="24"/>
      <c r="S30" s="24"/>
      <c r="T30" s="24"/>
    </row>
    <row r="31" spans="1:20" ht="15.75" thickBot="1" x14ac:dyDescent="0.3">
      <c r="A31" s="38" t="str">
        <f>A9</f>
        <v>SRI LANKA</v>
      </c>
      <c r="B31" s="39">
        <f t="array" ref="B31">IF(MAX(IF(NOT(ISBLANK(C9:C22)),IF(C9:C22&gt;=2005,IF(C9:C22&lt;=2012,C9:C22))))&gt;0,MAX(IF(NOT(ISBLANK(C9:C22)),IF(C9:C22&gt;=2005,IF(C9:C22&lt;=2012,C9:C22)))),MIN(IF(NOT(ISBLANK(C9:C22)),IF(C9:C22&gt;2012,C9:C22))))</f>
        <v>2012</v>
      </c>
      <c r="C31" s="40">
        <f t="array" ref="C31">SUM(IF(NOT(ISBLANK(C9:C22)),IF(NOT(ISBLANK(D9:D22)),IF(C9:C22=B31,D9:D22))))</f>
        <v>14.7</v>
      </c>
      <c r="D31" s="41">
        <f t="array" ref="D31">IF(SUM(IF(NOT(ISBLANK(C9:C22)),IF(NOT(ISBLANK(D9:D22)),IF(C9:C22=B31,E9:E22))))&gt;0,SUM(IF(NOT(ISBLANK(C9:C22)),IF(NOT(ISBLANK(D9:D22)),IF(C9:C22=B31,E9:E22)))),"")</f>
        <v>1743.692</v>
      </c>
      <c r="E31" s="42">
        <f>C31/100*D31</f>
        <v>256.32272399999999</v>
      </c>
      <c r="F31" s="43">
        <f>100*(1-(1-0.03853)^(2025-B31))</f>
        <v>39.998156782463845</v>
      </c>
      <c r="G31" s="41">
        <f>E31*(1-F31/100)</f>
        <v>153.79835898539793</v>
      </c>
      <c r="H31" s="66">
        <v>1421.4839999999999</v>
      </c>
      <c r="I31" s="43">
        <f>G31/H31*100</f>
        <v>10.819563145656085</v>
      </c>
      <c r="J31" s="43">
        <f>(1-(I31/C31)^(1/(2025-B31)))*100</f>
        <v>2.3300527494233392</v>
      </c>
      <c r="K31" s="43">
        <f t="array" ref="K31">100*(1-(1-0.0378)^(2030-B31))</f>
        <v>50.022290746856932</v>
      </c>
      <c r="L31" s="41">
        <f>E31*(1-K31/100)</f>
        <v>128.10422575045635</v>
      </c>
      <c r="M31" s="66">
        <v>1361.5039999999999</v>
      </c>
      <c r="N31" s="43">
        <f>L31/M31*100</f>
        <v>9.4090230914089386</v>
      </c>
      <c r="O31" s="43">
        <f>(1-(N31/C31)^(1/(2030-B31)))*100</f>
        <v>2.4482994775283373</v>
      </c>
    </row>
    <row r="32" spans="1:20" x14ac:dyDescent="0.25">
      <c r="A32" s="6"/>
      <c r="B32" s="7"/>
      <c r="C32" s="8"/>
      <c r="D32" s="9"/>
      <c r="E32" s="10"/>
      <c r="F32" s="9"/>
      <c r="G32" s="11"/>
      <c r="H32" s="11"/>
      <c r="I32" s="12"/>
      <c r="J32" s="12"/>
      <c r="K32" s="11"/>
      <c r="L32" s="12"/>
      <c r="M32" s="11"/>
      <c r="N32" s="11"/>
      <c r="O32" s="13"/>
      <c r="P32" s="13"/>
      <c r="Q32" s="14"/>
      <c r="R32" s="10"/>
      <c r="S32" s="10"/>
      <c r="T32" s="10"/>
    </row>
    <row r="33" spans="1:20" x14ac:dyDescent="0.25">
      <c r="A33" s="6"/>
      <c r="B33" s="7"/>
      <c r="C33" s="8"/>
      <c r="D33" s="9"/>
      <c r="E33" s="10"/>
      <c r="F33" s="9"/>
      <c r="G33" s="11"/>
      <c r="H33" s="11"/>
      <c r="I33" s="12"/>
      <c r="J33" s="12"/>
      <c r="K33" s="11"/>
      <c r="L33" s="12"/>
      <c r="M33" s="11"/>
      <c r="N33" s="11"/>
      <c r="O33" s="13"/>
      <c r="P33" s="13"/>
      <c r="Q33" s="14"/>
      <c r="R33" s="10"/>
      <c r="S33" s="10"/>
      <c r="T33" s="10"/>
    </row>
    <row r="34" spans="1:20" ht="15.75" thickBot="1" x14ac:dyDescent="0.3">
      <c r="A34" s="6"/>
      <c r="B34" s="7"/>
      <c r="C34" s="8"/>
      <c r="D34" s="9"/>
      <c r="E34" s="10"/>
      <c r="F34" s="9"/>
      <c r="G34" s="11"/>
      <c r="H34" s="11"/>
      <c r="I34" s="12"/>
      <c r="J34" s="12"/>
      <c r="K34" s="11"/>
      <c r="L34" s="12"/>
      <c r="M34" s="11"/>
      <c r="N34" s="11"/>
      <c r="O34" s="13"/>
      <c r="P34" s="13"/>
      <c r="Q34" s="14"/>
      <c r="R34" s="10"/>
      <c r="S34" s="10"/>
      <c r="T34" s="10"/>
    </row>
    <row r="35" spans="1:20" ht="15.75" thickBot="1" x14ac:dyDescent="0.3">
      <c r="A35" s="96" t="s">
        <v>22</v>
      </c>
      <c r="B35" s="97"/>
      <c r="C35" s="97"/>
      <c r="D35" s="97"/>
      <c r="E35" s="97"/>
      <c r="F35" s="97"/>
      <c r="G35" s="97"/>
      <c r="H35" s="98"/>
      <c r="I35" s="12"/>
      <c r="J35" s="12"/>
      <c r="K35" s="11"/>
      <c r="L35" s="12"/>
      <c r="M35" s="11"/>
      <c r="N35" s="11"/>
      <c r="O35" s="13"/>
      <c r="P35" s="13"/>
      <c r="Q35" s="14"/>
      <c r="R35" s="10"/>
      <c r="S35" s="10"/>
      <c r="T35" s="10"/>
    </row>
    <row r="36" spans="1:20" ht="90" thickBot="1" x14ac:dyDescent="0.3">
      <c r="A36" s="5" t="s">
        <v>18</v>
      </c>
      <c r="B36" s="20" t="s">
        <v>19</v>
      </c>
      <c r="C36" s="1" t="s">
        <v>17</v>
      </c>
      <c r="D36" s="4" t="s">
        <v>20</v>
      </c>
      <c r="E36" s="5" t="s">
        <v>21</v>
      </c>
      <c r="F36" s="31" t="s">
        <v>43</v>
      </c>
      <c r="G36" s="32" t="s">
        <v>42</v>
      </c>
      <c r="H36" s="32" t="s">
        <v>44</v>
      </c>
      <c r="I36" s="12"/>
      <c r="J36" s="12"/>
      <c r="K36" s="11"/>
      <c r="L36" s="12"/>
      <c r="M36" s="11"/>
      <c r="N36" s="11"/>
      <c r="O36" s="13"/>
      <c r="P36" s="13"/>
      <c r="Q36" s="14"/>
      <c r="R36" s="10"/>
      <c r="S36" s="10"/>
      <c r="T36" s="10"/>
    </row>
    <row r="37" spans="1:20" ht="15.75" thickBot="1" x14ac:dyDescent="0.3">
      <c r="A37" s="44">
        <f t="array" ref="A37">MIN(IF(NOT(ISBLANK(C9:C22)),IF(C9:C22&gt;=2008,C9:C22)))</f>
        <v>2009</v>
      </c>
      <c r="B37" s="68">
        <v>2014</v>
      </c>
      <c r="C37" s="45">
        <f t="array" ref="C37">IF(B37&gt;=A37,SUM(IF(NOT(ISBLANK(C9:C22)),IF(NOT(ISBLANK(D9:D22)),IF(C9:C22=A37,D9:D22))))*(1-B26/100)^(B37-A37),"")</f>
        <v>18.092659585475065</v>
      </c>
      <c r="D37" s="80">
        <f>(1-((I31/C37)^(1/(2025-B37))))*100</f>
        <v>4.566541061419704</v>
      </c>
      <c r="E37" s="67">
        <v>5</v>
      </c>
      <c r="F37" s="46">
        <f>C37*(1-E37/100)^(2025-B37)</f>
        <v>10.291106441744793</v>
      </c>
      <c r="G37" s="47">
        <f>IF(NOT(ISBLANK(H31)),F37/100*H31,"")</f>
        <v>146.28643149237155</v>
      </c>
      <c r="H37" s="48">
        <f>(E31-G37)/E31*100</f>
        <v>42.928808960234228</v>
      </c>
      <c r="I37" s="12"/>
      <c r="J37" s="12"/>
      <c r="K37" s="11"/>
      <c r="L37" s="12"/>
      <c r="M37" s="11"/>
      <c r="N37" s="11"/>
      <c r="O37" s="13"/>
      <c r="P37" s="13"/>
    </row>
    <row r="38" spans="1:20" x14ac:dyDescent="0.25">
      <c r="A38" s="6"/>
      <c r="B38" s="7"/>
      <c r="C38" s="8"/>
      <c r="D38" s="9"/>
      <c r="E38" s="10"/>
      <c r="F38" s="9"/>
      <c r="G38" s="11"/>
      <c r="H38" s="11"/>
      <c r="I38" s="12"/>
      <c r="J38" s="12"/>
      <c r="K38" s="11"/>
    </row>
    <row r="39" spans="1:20" x14ac:dyDescent="0.25">
      <c r="A39" s="15"/>
      <c r="B39" s="15"/>
      <c r="C39" s="15"/>
      <c r="D39" s="9"/>
      <c r="E39" s="10"/>
      <c r="F39" s="9"/>
      <c r="G39" s="11"/>
      <c r="H39" s="11"/>
      <c r="I39" s="12"/>
      <c r="J39" s="12"/>
      <c r="K39" s="11"/>
    </row>
    <row r="40" spans="1:20" x14ac:dyDescent="0.25">
      <c r="A40" s="15"/>
      <c r="B40" s="7"/>
      <c r="C40" s="8"/>
      <c r="D40" s="9"/>
      <c r="E40" s="10"/>
      <c r="F40" s="9"/>
      <c r="G40" s="11"/>
      <c r="H40" s="11"/>
      <c r="I40" s="12"/>
      <c r="J40" s="12"/>
      <c r="K40" s="11"/>
    </row>
    <row r="41" spans="1:20" x14ac:dyDescent="0.25">
      <c r="A41" s="15"/>
      <c r="B41" s="7"/>
      <c r="C41" s="8"/>
      <c r="D41" s="9"/>
      <c r="E41" s="10"/>
      <c r="F41" s="9"/>
      <c r="G41" s="11"/>
      <c r="H41" s="11"/>
      <c r="I41" s="12"/>
      <c r="J41" s="12"/>
      <c r="K41" s="12"/>
      <c r="L41" s="11"/>
      <c r="M41" s="11"/>
      <c r="N41" s="13"/>
      <c r="O41" s="13"/>
    </row>
    <row r="42" spans="1:20" ht="51" x14ac:dyDescent="0.25">
      <c r="K42" s="50" t="s">
        <v>18</v>
      </c>
      <c r="L42" s="50" t="s">
        <v>47</v>
      </c>
      <c r="M42" s="51" t="s">
        <v>23</v>
      </c>
      <c r="N42" s="51" t="s">
        <v>62</v>
      </c>
    </row>
    <row r="43" spans="1:20" x14ac:dyDescent="0.25">
      <c r="K43" s="33">
        <f>A37</f>
        <v>2009</v>
      </c>
      <c r="L43" s="51">
        <f t="array" ref="L43">SUM(IF(NOT(ISBLANK(C9:C22)),IF(NOT(ISBLANK(D9:D22)),IF(C9:C22=A37,D9:D22))))</f>
        <v>19.2</v>
      </c>
      <c r="M43" s="51">
        <f>(1-((I31/L43)^(1/(2025-K43))))*100</f>
        <v>3.5212248841622773</v>
      </c>
      <c r="N43" s="51">
        <f>(1-((N31/L43)^(1/(2030-K43))))*100</f>
        <v>3.3393566833730404</v>
      </c>
    </row>
    <row r="44" spans="1:20" x14ac:dyDescent="0.25">
      <c r="K44" s="12"/>
      <c r="L44" s="11"/>
      <c r="M44" s="11"/>
    </row>
    <row r="46" spans="1:20" ht="90" x14ac:dyDescent="0.25">
      <c r="K46" s="69" t="s">
        <v>7</v>
      </c>
      <c r="L46" s="69" t="s">
        <v>10</v>
      </c>
      <c r="M46" s="69" t="s">
        <v>9</v>
      </c>
      <c r="N46" s="70" t="s">
        <v>25</v>
      </c>
      <c r="O46" s="24"/>
    </row>
    <row r="47" spans="1:20" x14ac:dyDescent="0.25">
      <c r="K47" s="71">
        <f>A37</f>
        <v>2009</v>
      </c>
      <c r="L47" s="72">
        <f t="array" ref="L47">SUM(IF(NOT(ISBLANK(C9:C22)),IF(NOT(ISBLANK(D9:D22)),IF(C9:C22=A37,D9:D22))))</f>
        <v>19.2</v>
      </c>
      <c r="M47" s="72">
        <f>L43</f>
        <v>19.2</v>
      </c>
      <c r="N47" s="72">
        <f>L43</f>
        <v>19.2</v>
      </c>
      <c r="O47" s="24"/>
    </row>
    <row r="48" spans="1:20" x14ac:dyDescent="0.25">
      <c r="K48" s="71">
        <f>IF(ISNUMBER(K47),IF(K47+1&lt;=2030,K47+1,#N/A),#N/A)</f>
        <v>2010</v>
      </c>
      <c r="L48" s="72">
        <f>IF(ISNUMBER(K48),IF(AND(K48&lt;=2030,K48&gt;1900),L47*(1-$B$26/100),#N/A),#N/A)</f>
        <v>18.97323847304536</v>
      </c>
      <c r="M48" s="72">
        <f>IF(ISNUMBER(K48),IF(AND(K48&lt;=2025,K48&gt;1900),M47*(1-$M$43/100),#N/A),#N/A)</f>
        <v>18.523924822240843</v>
      </c>
      <c r="N48" s="72">
        <f>IF(ISNUMBER(K48),IF(AND(K48&lt;=2025,K48&gt;1900),N47*(1-$E$37/100),#N/A),#N/A)</f>
        <v>18.239999999999998</v>
      </c>
      <c r="O48" s="24"/>
    </row>
    <row r="49" spans="11:14" x14ac:dyDescent="0.25">
      <c r="K49" s="71">
        <f t="shared" ref="K49:K68" si="3">IF(ISNUMBER(K48),IF(K48+1&lt;=2030,K48+1,#N/A),#N/A)</f>
        <v>2011</v>
      </c>
      <c r="L49" s="72">
        <f t="shared" ref="L49:L68" si="4">IF(ISNUMBER(K49),IF(AND(K49&lt;=2030,K49&gt;1900),L48*(1-$B$26/100),#N/A),#N/A)</f>
        <v>18.749155112242114</v>
      </c>
      <c r="M49" s="72">
        <f t="shared" ref="M49:M63" si="5">IF(ISNUMBER(K49),IF(AND(K49&lt;=2025,K49&gt;1900),M48*(1-$M$43/100),#N/A),#N/A)</f>
        <v>17.871655771876586</v>
      </c>
      <c r="N49" s="72">
        <f t="shared" ref="N49:N63" si="6">IF(ISNUMBER(K49),IF(AND(K49&lt;=2025,K49&gt;1900),N48*(1-$E$37/100),#N/A),#N/A)</f>
        <v>17.327999999999999</v>
      </c>
    </row>
    <row r="50" spans="11:14" x14ac:dyDescent="0.25">
      <c r="K50" s="71">
        <f t="shared" si="3"/>
        <v>2012</v>
      </c>
      <c r="L50" s="72">
        <f t="shared" si="4"/>
        <v>18.527718287119125</v>
      </c>
      <c r="M50" s="72">
        <f t="shared" si="5"/>
        <v>17.242354581625445</v>
      </c>
      <c r="N50" s="72">
        <f t="shared" si="6"/>
        <v>16.461599999999997</v>
      </c>
    </row>
    <row r="51" spans="11:14" x14ac:dyDescent="0.25">
      <c r="K51" s="71">
        <f t="shared" si="3"/>
        <v>2013</v>
      </c>
      <c r="L51" s="72">
        <f t="shared" si="4"/>
        <v>18.308896740776806</v>
      </c>
      <c r="M51" s="72">
        <f t="shared" si="5"/>
        <v>16.635212501481757</v>
      </c>
      <c r="N51" s="72">
        <f t="shared" si="6"/>
        <v>15.638519999999996</v>
      </c>
    </row>
    <row r="52" spans="11:14" x14ac:dyDescent="0.25">
      <c r="K52" s="71">
        <f t="shared" si="3"/>
        <v>2014</v>
      </c>
      <c r="L52" s="72">
        <f t="shared" si="4"/>
        <v>18.092659585475069</v>
      </c>
      <c r="M52" s="72">
        <f t="shared" si="5"/>
        <v>16.049449259346307</v>
      </c>
      <c r="N52" s="72">
        <f t="shared" si="6"/>
        <v>14.856593999999996</v>
      </c>
    </row>
    <row r="53" spans="11:14" x14ac:dyDescent="0.25">
      <c r="K53" s="71">
        <f t="shared" si="3"/>
        <v>2015</v>
      </c>
      <c r="L53" s="72">
        <f t="shared" si="4"/>
        <v>17.878976298273358</v>
      </c>
      <c r="M53" s="72">
        <f t="shared" si="5"/>
        <v>15.484312058255206</v>
      </c>
      <c r="N53" s="72">
        <f t="shared" si="6"/>
        <v>14.113764299999996</v>
      </c>
    </row>
    <row r="54" spans="11:14" x14ac:dyDescent="0.25">
      <c r="K54" s="71">
        <f t="shared" si="3"/>
        <v>2016</v>
      </c>
      <c r="L54" s="72">
        <f t="shared" si="4"/>
        <v>17.667816716722196</v>
      </c>
      <c r="M54" s="72">
        <f t="shared" si="5"/>
        <v>14.939074608918583</v>
      </c>
      <c r="N54" s="72">
        <f t="shared" si="6"/>
        <v>13.408076084999996</v>
      </c>
    </row>
    <row r="55" spans="11:14" x14ac:dyDescent="0.25">
      <c r="K55" s="71">
        <f t="shared" si="3"/>
        <v>2017</v>
      </c>
      <c r="L55" s="72">
        <f t="shared" si="4"/>
        <v>17.4591510346056</v>
      </c>
      <c r="M55" s="72">
        <f t="shared" si="5"/>
        <v>14.413036196325773</v>
      </c>
      <c r="N55" s="72">
        <f t="shared" si="6"/>
        <v>12.737672280749996</v>
      </c>
    </row>
    <row r="56" spans="11:14" x14ac:dyDescent="0.25">
      <c r="K56" s="71">
        <f t="shared" si="3"/>
        <v>2018</v>
      </c>
      <c r="L56" s="72">
        <f t="shared" si="4"/>
        <v>17.252949797733784</v>
      </c>
      <c r="M56" s="72">
        <f t="shared" si="5"/>
        <v>13.905520779217435</v>
      </c>
      <c r="N56" s="72">
        <f t="shared" si="6"/>
        <v>12.100788666712495</v>
      </c>
    </row>
    <row r="57" spans="11:14" x14ac:dyDescent="0.25">
      <c r="K57" s="71">
        <f t="shared" si="3"/>
        <v>2019</v>
      </c>
      <c r="L57" s="72">
        <f t="shared" si="4"/>
        <v>17.049183899785561</v>
      </c>
      <c r="M57" s="72">
        <f t="shared" si="5"/>
        <v>13.415876121267274</v>
      </c>
      <c r="N57" s="72">
        <f t="shared" si="6"/>
        <v>11.49574923337687</v>
      </c>
    </row>
    <row r="58" spans="11:14" x14ac:dyDescent="0.25">
      <c r="K58" s="71">
        <f t="shared" si="3"/>
        <v>2020</v>
      </c>
      <c r="L58" s="72">
        <f t="shared" si="4"/>
        <v>16.847824578199841</v>
      </c>
      <c r="M58" s="72">
        <f t="shared" si="5"/>
        <v>12.943472952856826</v>
      </c>
      <c r="N58" s="72">
        <f t="shared" si="6"/>
        <v>10.920961771708026</v>
      </c>
    </row>
    <row r="59" spans="11:14" x14ac:dyDescent="0.25">
      <c r="K59" s="71">
        <f t="shared" si="3"/>
        <v>2021</v>
      </c>
      <c r="L59" s="72">
        <f t="shared" si="4"/>
        <v>16.648843410115646</v>
      </c>
      <c r="M59" s="72">
        <f t="shared" si="5"/>
        <v>12.487704162366018</v>
      </c>
      <c r="N59" s="72">
        <f t="shared" si="6"/>
        <v>10.374913683122625</v>
      </c>
    </row>
    <row r="60" spans="11:14" x14ac:dyDescent="0.25">
      <c r="K60" s="71">
        <f t="shared" si="3"/>
        <v>2022</v>
      </c>
      <c r="L60" s="72">
        <f t="shared" si="4"/>
        <v>16.452212308360096</v>
      </c>
      <c r="M60" s="72">
        <f t="shared" si="5"/>
        <v>12.047984015940218</v>
      </c>
      <c r="N60" s="72">
        <f t="shared" si="6"/>
        <v>9.8561679989664928</v>
      </c>
    </row>
    <row r="61" spans="11:14" x14ac:dyDescent="0.25">
      <c r="K61" s="71">
        <f t="shared" si="3"/>
        <v>2023</v>
      </c>
      <c r="L61" s="72">
        <f t="shared" si="4"/>
        <v>16.257903517483758</v>
      </c>
      <c r="M61" s="72">
        <f t="shared" si="5"/>
        <v>11.623747404731038</v>
      </c>
      <c r="N61" s="72">
        <f t="shared" si="6"/>
        <v>9.3633595990181675</v>
      </c>
    </row>
    <row r="62" spans="11:14" x14ac:dyDescent="0.25">
      <c r="K62" s="71">
        <f t="shared" si="3"/>
        <v>2024</v>
      </c>
      <c r="L62" s="72">
        <f t="shared" si="4"/>
        <v>16.065889609842827</v>
      </c>
      <c r="M62" s="72">
        <f t="shared" si="5"/>
        <v>11.214449118643481</v>
      </c>
      <c r="N62" s="72">
        <f t="shared" si="6"/>
        <v>8.8951916190672584</v>
      </c>
    </row>
    <row r="63" spans="11:14" x14ac:dyDescent="0.25">
      <c r="K63" s="71">
        <f t="shared" si="3"/>
        <v>2025</v>
      </c>
      <c r="L63" s="72">
        <f t="shared" si="4"/>
        <v>15.876143481727585</v>
      </c>
      <c r="M63" s="72">
        <f t="shared" si="5"/>
        <v>10.81956314565609</v>
      </c>
      <c r="N63" s="72">
        <f t="shared" si="6"/>
        <v>8.4504320381138953</v>
      </c>
    </row>
    <row r="64" spans="11:14" x14ac:dyDescent="0.25">
      <c r="K64" s="71">
        <f>IF(ISNUMBER(K63),IF(K63+1&lt;=2030,K63+1,#N/A),#N/A)</f>
        <v>2026</v>
      </c>
      <c r="L64" s="72">
        <f>IF(ISNUMBER(K64),IF(AND(K64&lt;=2030,K64&gt;1900),L63*(1-$B$26/100),#N/A),#N/A)</f>
        <v>15.68863834953657</v>
      </c>
      <c r="M64" s="72">
        <f>IF(ISNUMBER(K64),IF(AND(K64&lt;=2030,K64&gt;2025),(M47*(1-$N$43/100)^(2025-$K$43))*(1-$N$43/100),#N/A),#N/A)</f>
        <v>10.778189362849046</v>
      </c>
      <c r="N64" s="72">
        <f>IF(ISNUMBER(K64),IF(AND(K64&lt;=2030,K64&gt;2025),N63*(1-$E$37/100),#N/A),#N/A)</f>
        <v>8.0279104362082006</v>
      </c>
    </row>
    <row r="65" spans="11:14" x14ac:dyDescent="0.25">
      <c r="K65" s="71">
        <f t="shared" si="3"/>
        <v>2027</v>
      </c>
      <c r="L65" s="72">
        <f t="shared" si="4"/>
        <v>15.503347745995942</v>
      </c>
      <c r="M65" s="72">
        <f t="shared" ref="M65:M68" si="7">IF(ISNUMBER(K65),IF(AND(K65&lt;=2030,K65&gt;2025),(M48*(1-$N$43/100)^(2025-$K$43))*(1-$N$43/100),#N/A),#N/A)</f>
        <v>10.398665076942274</v>
      </c>
      <c r="N65" s="72">
        <f t="shared" ref="N65:N68" si="8">IF(ISNUMBER(K65),IF(AND(K65&lt;=2030,K65&gt;2025),N64*(1-$E$37/100),#N/A),#N/A)</f>
        <v>7.6265149143977897</v>
      </c>
    </row>
    <row r="66" spans="11:14" x14ac:dyDescent="0.25">
      <c r="K66" s="71">
        <f t="shared" si="3"/>
        <v>2028</v>
      </c>
      <c r="L66" s="72">
        <f t="shared" si="4"/>
        <v>15.320245516423503</v>
      </c>
      <c r="M66" s="72">
        <f t="shared" si="7"/>
        <v>10.032504694632291</v>
      </c>
      <c r="N66" s="72">
        <f t="shared" si="8"/>
        <v>7.2451891686779</v>
      </c>
    </row>
    <row r="67" spans="11:14" x14ac:dyDescent="0.25">
      <c r="K67" s="71">
        <f t="shared" si="3"/>
        <v>2029</v>
      </c>
      <c r="L67" s="72">
        <f t="shared" si="4"/>
        <v>15.139305815036828</v>
      </c>
      <c r="M67" s="72">
        <f t="shared" si="7"/>
        <v>9.6792376428201514</v>
      </c>
      <c r="N67" s="72">
        <f t="shared" si="8"/>
        <v>6.8829297102440048</v>
      </c>
    </row>
    <row r="68" spans="11:14" x14ac:dyDescent="0.25">
      <c r="K68" s="71">
        <f t="shared" si="3"/>
        <v>2030</v>
      </c>
      <c r="L68" s="72">
        <f t="shared" si="4"/>
        <v>14.960503101305004</v>
      </c>
      <c r="M68" s="72">
        <f t="shared" si="7"/>
        <v>9.3384099183439666</v>
      </c>
      <c r="N68" s="72">
        <f t="shared" si="8"/>
        <v>6.5387832247318043</v>
      </c>
    </row>
    <row r="69" spans="11:14" x14ac:dyDescent="0.25">
      <c r="K69" s="71" t="e">
        <f>IF(ISNUMBER(K63),IF(K63+1&lt;=2025,K63+1,#N/A),#N/A)</f>
        <v>#N/A</v>
      </c>
      <c r="L69" s="72" t="e">
        <f>IF(ISNUMBER(K69),IF(AND(K69&lt;=2025,K69&gt;1900),ROUND(L63*(1-$B$26/100),1),#N/A),#N/A)</f>
        <v>#N/A</v>
      </c>
      <c r="M69" s="72" t="e">
        <f>IF(ISNUMBER(K69),IF(AND(K69&lt;=2025,K69&gt;1900),ROUND(M63*(1-$M$43/100),1),#N/A),#N/A)</f>
        <v>#N/A</v>
      </c>
      <c r="N69" s="72" t="e">
        <f>IF(ISNUMBER(K69),IF(AND(K69&lt;=2025,K69&gt;1900),ROUND(N63*(1-$E$37/100),1),#N/A),#N/A)</f>
        <v>#N/A</v>
      </c>
    </row>
  </sheetData>
  <mergeCells count="6">
    <mergeCell ref="A29:A30"/>
    <mergeCell ref="B29:E29"/>
    <mergeCell ref="Q29:T29"/>
    <mergeCell ref="F29:J29"/>
    <mergeCell ref="A35:H35"/>
    <mergeCell ref="K29:O29"/>
  </mergeCells>
  <pageMargins left="0.7" right="0.7" top="0.75" bottom="0.75" header="0.3" footer="0.3"/>
  <pageSetup paperSize="9" scale="4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0"/>
  <sheetViews>
    <sheetView workbookViewId="0">
      <selection activeCell="A2" sqref="A2"/>
    </sheetView>
  </sheetViews>
  <sheetFormatPr defaultRowHeight="15" x14ac:dyDescent="0.25"/>
  <cols>
    <col min="1" max="1" width="16.7109375" customWidth="1"/>
    <col min="2" max="3" width="11.42578125" customWidth="1"/>
    <col min="4" max="4" width="12.28515625" customWidth="1"/>
    <col min="5" max="5" width="15.7109375" customWidth="1"/>
    <col min="6" max="6" width="16.42578125" customWidth="1"/>
    <col min="7" max="7" width="14" customWidth="1"/>
    <col min="8" max="8" width="13.28515625" customWidth="1"/>
    <col min="9" max="9" width="12.85546875" customWidth="1"/>
    <col min="10" max="10" width="13.7109375" customWidth="1"/>
    <col min="11" max="16" width="13.42578125" customWidth="1"/>
    <col min="17" max="17" width="15.42578125" customWidth="1"/>
    <col min="18" max="18" width="14.140625" customWidth="1"/>
    <col min="19" max="19" width="12.7109375" customWidth="1"/>
    <col min="20" max="20" width="14.140625" customWidth="1"/>
    <col min="21" max="21" width="14.5703125" customWidth="1"/>
  </cols>
  <sheetData>
    <row r="1" spans="1:16" ht="26.25" x14ac:dyDescent="0.4">
      <c r="A1" s="26" t="s">
        <v>74</v>
      </c>
    </row>
    <row r="2" spans="1:16" ht="26.25" x14ac:dyDescent="0.4">
      <c r="A2" s="26"/>
    </row>
    <row r="3" spans="1:16" ht="18.75" x14ac:dyDescent="0.3">
      <c r="A3" s="52" t="s">
        <v>24</v>
      </c>
      <c r="B3" s="53"/>
      <c r="C3" s="53"/>
      <c r="D3" s="53"/>
      <c r="E3" s="53"/>
    </row>
    <row r="4" spans="1:16" x14ac:dyDescent="0.25">
      <c r="A4" s="16"/>
    </row>
    <row r="5" spans="1:16" x14ac:dyDescent="0.25">
      <c r="A5" s="16"/>
    </row>
    <row r="6" spans="1:16" ht="18.75" x14ac:dyDescent="0.3">
      <c r="A6" s="21" t="s">
        <v>63</v>
      </c>
      <c r="G6" t="s">
        <v>13</v>
      </c>
    </row>
    <row r="7" spans="1:16" ht="18.75" x14ac:dyDescent="0.3">
      <c r="A7" s="21"/>
      <c r="K7" s="22"/>
      <c r="L7" s="22"/>
      <c r="M7" s="22"/>
      <c r="N7" s="22"/>
      <c r="O7" s="22"/>
      <c r="P7" s="22"/>
    </row>
    <row r="8" spans="1:16" ht="50.25" customHeight="1" x14ac:dyDescent="0.25">
      <c r="A8" s="27" t="s">
        <v>12</v>
      </c>
      <c r="B8" s="27" t="s">
        <v>39</v>
      </c>
      <c r="C8" s="28" t="s">
        <v>0</v>
      </c>
      <c r="D8" s="74" t="s">
        <v>64</v>
      </c>
      <c r="E8" s="74" t="s">
        <v>35</v>
      </c>
      <c r="G8" s="28" t="s">
        <v>0</v>
      </c>
      <c r="H8" s="74" t="s">
        <v>51</v>
      </c>
      <c r="I8" s="28" t="s">
        <v>52</v>
      </c>
    </row>
    <row r="9" spans="1:16" x14ac:dyDescent="0.25">
      <c r="A9" s="61" t="s">
        <v>54</v>
      </c>
      <c r="B9" s="61" t="s">
        <v>55</v>
      </c>
      <c r="C9" s="62">
        <v>1987</v>
      </c>
      <c r="D9" s="61">
        <v>0.3</v>
      </c>
      <c r="E9" s="63">
        <v>1883.7030000000002</v>
      </c>
      <c r="G9" s="33" t="str">
        <f t="shared" ref="G9:G22" si="0">IF(ISBLANK(C9),"",IF(C9&gt;=2008,C9,""))</f>
        <v/>
      </c>
      <c r="H9" s="34" t="str">
        <f t="shared" ref="H9:H22" si="1">IF(ISBLANK(D9),"",IF(C9&gt;=2008,D9,""))</f>
        <v/>
      </c>
      <c r="I9" s="35" t="str">
        <f t="shared" ref="I9:I22" si="2">IFERROR(IF(H9&gt;0,LN(H9),""),"")</f>
        <v/>
      </c>
    </row>
    <row r="10" spans="1:16" x14ac:dyDescent="0.25">
      <c r="A10" s="61" t="s">
        <v>54</v>
      </c>
      <c r="B10" s="61" t="s">
        <v>56</v>
      </c>
      <c r="C10" s="62">
        <v>1993</v>
      </c>
      <c r="D10" s="61"/>
      <c r="E10" s="63">
        <v>1723.8450000000003</v>
      </c>
      <c r="G10" s="33" t="str">
        <f t="shared" si="0"/>
        <v/>
      </c>
      <c r="H10" s="34" t="str">
        <f t="shared" si="1"/>
        <v/>
      </c>
      <c r="I10" s="35" t="str">
        <f t="shared" si="2"/>
        <v/>
      </c>
    </row>
    <row r="11" spans="1:16" x14ac:dyDescent="0.25">
      <c r="A11" s="61" t="s">
        <v>54</v>
      </c>
      <c r="B11" s="64" t="s">
        <v>57</v>
      </c>
      <c r="C11" s="62">
        <v>1995</v>
      </c>
      <c r="D11" s="61"/>
      <c r="E11" s="63">
        <v>1716.653</v>
      </c>
      <c r="G11" s="33" t="str">
        <f t="shared" si="0"/>
        <v/>
      </c>
      <c r="H11" s="34" t="str">
        <f t="shared" si="1"/>
        <v/>
      </c>
      <c r="I11" s="35" t="str">
        <f t="shared" si="2"/>
        <v/>
      </c>
    </row>
    <row r="12" spans="1:16" x14ac:dyDescent="0.25">
      <c r="A12" s="61" t="s">
        <v>54</v>
      </c>
      <c r="B12" s="64" t="s">
        <v>58</v>
      </c>
      <c r="C12" s="62">
        <v>2000</v>
      </c>
      <c r="D12" s="61">
        <v>1</v>
      </c>
      <c r="E12" s="63">
        <v>1641.607</v>
      </c>
      <c r="G12" s="33" t="str">
        <f t="shared" si="0"/>
        <v/>
      </c>
      <c r="H12" s="34" t="str">
        <f t="shared" si="1"/>
        <v/>
      </c>
      <c r="I12" s="35" t="str">
        <f t="shared" si="2"/>
        <v/>
      </c>
    </row>
    <row r="13" spans="1:16" x14ac:dyDescent="0.25">
      <c r="A13" s="61" t="s">
        <v>54</v>
      </c>
      <c r="B13" s="64" t="s">
        <v>59</v>
      </c>
      <c r="C13" s="62">
        <v>2007</v>
      </c>
      <c r="D13" s="61">
        <v>1.6</v>
      </c>
      <c r="E13" s="63">
        <v>1797.145</v>
      </c>
      <c r="G13" s="33" t="str">
        <f t="shared" si="0"/>
        <v/>
      </c>
      <c r="H13" s="34" t="str">
        <f t="shared" si="1"/>
        <v/>
      </c>
      <c r="I13" s="35" t="str">
        <f t="shared" si="2"/>
        <v/>
      </c>
    </row>
    <row r="14" spans="1:16" x14ac:dyDescent="0.25">
      <c r="A14" s="61" t="s">
        <v>54</v>
      </c>
      <c r="B14" s="64" t="s">
        <v>60</v>
      </c>
      <c r="C14" s="62">
        <v>2009</v>
      </c>
      <c r="D14" s="61">
        <v>0.8</v>
      </c>
      <c r="E14" s="63">
        <v>1797.296</v>
      </c>
      <c r="G14" s="33">
        <f t="shared" si="0"/>
        <v>2009</v>
      </c>
      <c r="H14" s="34">
        <f t="shared" si="1"/>
        <v>0.8</v>
      </c>
      <c r="I14" s="35">
        <f t="shared" si="2"/>
        <v>-0.22314355131420971</v>
      </c>
    </row>
    <row r="15" spans="1:16" x14ac:dyDescent="0.25">
      <c r="A15" s="61" t="s">
        <v>54</v>
      </c>
      <c r="B15" s="64" t="s">
        <v>61</v>
      </c>
      <c r="C15" s="62">
        <v>2012</v>
      </c>
      <c r="D15" s="61">
        <v>0.6</v>
      </c>
      <c r="E15" s="63">
        <v>1743.692</v>
      </c>
      <c r="G15" s="33">
        <f t="shared" si="0"/>
        <v>2012</v>
      </c>
      <c r="H15" s="34">
        <f t="shared" si="1"/>
        <v>0.6</v>
      </c>
      <c r="I15" s="35">
        <f t="shared" si="2"/>
        <v>-0.51082562376599072</v>
      </c>
    </row>
    <row r="16" spans="1:16" x14ac:dyDescent="0.25">
      <c r="A16" s="61" t="s">
        <v>54</v>
      </c>
      <c r="B16" s="64">
        <v>2016</v>
      </c>
      <c r="C16" s="62">
        <v>2016</v>
      </c>
      <c r="D16" s="61">
        <v>2</v>
      </c>
      <c r="E16" s="63">
        <v>1601.546</v>
      </c>
      <c r="G16" s="33">
        <f t="shared" si="0"/>
        <v>2016</v>
      </c>
      <c r="H16" s="34">
        <f t="shared" si="1"/>
        <v>2</v>
      </c>
      <c r="I16" s="35">
        <f t="shared" si="2"/>
        <v>0.69314718055994529</v>
      </c>
      <c r="L16" s="29"/>
    </row>
    <row r="17" spans="1:20" x14ac:dyDescent="0.25">
      <c r="A17" s="61"/>
      <c r="B17" s="64"/>
      <c r="C17" s="65"/>
      <c r="D17" s="61"/>
      <c r="E17" s="63"/>
      <c r="G17" s="33" t="str">
        <f t="shared" si="0"/>
        <v/>
      </c>
      <c r="H17" s="34" t="str">
        <f t="shared" si="1"/>
        <v/>
      </c>
      <c r="I17" s="35" t="str">
        <f t="shared" si="2"/>
        <v/>
      </c>
    </row>
    <row r="18" spans="1:20" x14ac:dyDescent="0.25">
      <c r="A18" s="61"/>
      <c r="B18" s="64"/>
      <c r="C18" s="65"/>
      <c r="D18" s="61"/>
      <c r="E18" s="63"/>
      <c r="G18" s="33" t="str">
        <f t="shared" si="0"/>
        <v/>
      </c>
      <c r="H18" s="34" t="str">
        <f t="shared" si="1"/>
        <v/>
      </c>
      <c r="I18" s="35" t="str">
        <f t="shared" si="2"/>
        <v/>
      </c>
    </row>
    <row r="19" spans="1:20" x14ac:dyDescent="0.25">
      <c r="A19" s="61"/>
      <c r="B19" s="64"/>
      <c r="C19" s="65"/>
      <c r="D19" s="61"/>
      <c r="E19" s="63"/>
      <c r="G19" s="33" t="str">
        <f t="shared" si="0"/>
        <v/>
      </c>
      <c r="H19" s="34" t="str">
        <f t="shared" si="1"/>
        <v/>
      </c>
      <c r="I19" s="35" t="str">
        <f t="shared" si="2"/>
        <v/>
      </c>
    </row>
    <row r="20" spans="1:20" x14ac:dyDescent="0.25">
      <c r="A20" s="61"/>
      <c r="B20" s="64"/>
      <c r="C20" s="65"/>
      <c r="D20" s="61"/>
      <c r="E20" s="63"/>
      <c r="G20" s="33" t="str">
        <f t="shared" si="0"/>
        <v/>
      </c>
      <c r="H20" s="34" t="str">
        <f t="shared" si="1"/>
        <v/>
      </c>
      <c r="I20" s="35" t="str">
        <f t="shared" si="2"/>
        <v/>
      </c>
    </row>
    <row r="21" spans="1:20" x14ac:dyDescent="0.25">
      <c r="A21" s="61"/>
      <c r="B21" s="64"/>
      <c r="C21" s="65"/>
      <c r="D21" s="61"/>
      <c r="E21" s="63"/>
      <c r="G21" s="33" t="str">
        <f t="shared" si="0"/>
        <v/>
      </c>
      <c r="H21" s="34" t="str">
        <f t="shared" si="1"/>
        <v/>
      </c>
      <c r="I21" s="35" t="str">
        <f t="shared" si="2"/>
        <v/>
      </c>
    </row>
    <row r="22" spans="1:20" x14ac:dyDescent="0.25">
      <c r="A22" s="61"/>
      <c r="B22" s="64"/>
      <c r="C22" s="65"/>
      <c r="D22" s="61"/>
      <c r="E22" s="63"/>
      <c r="G22" s="33" t="str">
        <f t="shared" si="0"/>
        <v/>
      </c>
      <c r="H22" s="34" t="str">
        <f t="shared" si="1"/>
        <v/>
      </c>
      <c r="I22" s="35" t="str">
        <f t="shared" si="2"/>
        <v/>
      </c>
    </row>
    <row r="23" spans="1:20" x14ac:dyDescent="0.25">
      <c r="F23" s="22"/>
      <c r="G23" s="22"/>
      <c r="H23" s="22"/>
      <c r="I23" s="25"/>
      <c r="J23" s="22"/>
      <c r="K23" s="22"/>
    </row>
    <row r="24" spans="1:20" x14ac:dyDescent="0.25">
      <c r="F24" s="22"/>
      <c r="G24" s="22"/>
      <c r="H24" s="22"/>
      <c r="I24" s="25"/>
      <c r="J24" s="22"/>
      <c r="K24" s="22"/>
    </row>
    <row r="26" spans="1:20" x14ac:dyDescent="0.25">
      <c r="A26" s="36" t="s">
        <v>6</v>
      </c>
      <c r="B26" s="37">
        <f>100*(1-EXP(SLOPE(IF(ISNA(I9:I22),"",I9:I22),IF(ISNA(G9:G22),"",G9:G22))))</f>
        <v>-15.038075011683084</v>
      </c>
    </row>
    <row r="28" spans="1:20" ht="15.75" thickBot="1" x14ac:dyDescent="0.3">
      <c r="Q28" s="24"/>
      <c r="R28" s="24"/>
      <c r="S28" s="24"/>
      <c r="T28" s="24"/>
    </row>
    <row r="29" spans="1:20" ht="15.75" thickBot="1" x14ac:dyDescent="0.3">
      <c r="A29" s="88" t="s">
        <v>12</v>
      </c>
      <c r="B29" s="90" t="s">
        <v>15</v>
      </c>
      <c r="C29" s="90"/>
      <c r="D29" s="90"/>
      <c r="E29" s="91"/>
      <c r="F29" s="93" t="s">
        <v>67</v>
      </c>
      <c r="G29" s="94"/>
      <c r="H29" s="94"/>
      <c r="I29" s="95"/>
      <c r="J29" s="99" t="s">
        <v>66</v>
      </c>
      <c r="K29" s="100"/>
      <c r="L29" s="100"/>
      <c r="M29" s="101"/>
      <c r="O29" s="76"/>
      <c r="P29" s="76"/>
      <c r="Q29" s="92"/>
      <c r="R29" s="92"/>
      <c r="S29" s="92"/>
      <c r="T29" s="92"/>
    </row>
    <row r="30" spans="1:20" ht="64.5" thickBot="1" x14ac:dyDescent="0.3">
      <c r="A30" s="89"/>
      <c r="B30" s="23" t="s">
        <v>38</v>
      </c>
      <c r="C30" s="1" t="s">
        <v>73</v>
      </c>
      <c r="D30" s="1" t="s">
        <v>1</v>
      </c>
      <c r="E30" s="2" t="s">
        <v>71</v>
      </c>
      <c r="F30" s="3" t="s">
        <v>72</v>
      </c>
      <c r="G30" s="3" t="s">
        <v>4</v>
      </c>
      <c r="H30" s="1" t="s">
        <v>71</v>
      </c>
      <c r="I30" s="5" t="s">
        <v>37</v>
      </c>
      <c r="J30" s="3" t="s">
        <v>72</v>
      </c>
      <c r="K30" s="3" t="s">
        <v>4</v>
      </c>
      <c r="L30" s="1" t="s">
        <v>71</v>
      </c>
      <c r="M30" s="5" t="s">
        <v>37</v>
      </c>
      <c r="P30" s="24"/>
      <c r="Q30" s="24"/>
      <c r="R30" s="24"/>
      <c r="S30" s="24"/>
    </row>
    <row r="31" spans="1:20" ht="15.75" thickBot="1" x14ac:dyDescent="0.3">
      <c r="A31" s="38" t="str">
        <f>A9</f>
        <v>SRI LANKA</v>
      </c>
      <c r="B31" s="39">
        <f t="array" ref="B31">IF(MAX(IF(NOT(ISBLANK(C9:C22)),IF(C9:C22&gt;=2005,IF(C9:C22&lt;=2012,C9:C22))))&gt;0,MAX(IF(NOT(ISBLANK(C9:C22)),IF(C9:C22&gt;=2005,IF(C9:C22&lt;=2012,C9:C22)))),MIN(IF(NOT(ISBLANK(C9:C22)),IF(C9:C22&gt;2012,C9:C22))))</f>
        <v>2012</v>
      </c>
      <c r="C31" s="40">
        <f t="array" ref="C31">SUM(IF(NOT(ISBLANK(C9:C22)),IF(NOT(ISBLANK(D9:D22)),IF(C9:C22=B31,D9:D22))))</f>
        <v>0.6</v>
      </c>
      <c r="D31" s="41">
        <f t="array" ref="D31">IF(SUM(IF(NOT(ISBLANK(C9:C22)),IF(NOT(ISBLANK(D9:D22)),IF(C9:C22=B31,E9:E22))))&gt;0,SUM(IF(NOT(ISBLANK(C9:C22)),IF(NOT(ISBLANK(D9:D22)),IF(C9:C22=B31,E9:E22)))),"")</f>
        <v>1743.692</v>
      </c>
      <c r="E31" s="42">
        <f>C31/100*D31</f>
        <v>10.462152</v>
      </c>
      <c r="F31" s="41">
        <f>C31</f>
        <v>0.6</v>
      </c>
      <c r="G31" s="66">
        <v>1421.4839999999999</v>
      </c>
      <c r="H31" s="41">
        <f>F31/100*G31</f>
        <v>8.5289039999999989</v>
      </c>
      <c r="I31" s="43">
        <f>(1-(F31/C31)^(1/(2025-B31)))*100</f>
        <v>0</v>
      </c>
      <c r="J31" s="41">
        <f>MIN(C31,3)</f>
        <v>0.6</v>
      </c>
      <c r="K31" s="66">
        <v>1361.5039999999999</v>
      </c>
      <c r="L31" s="41">
        <f>J31/100*K31</f>
        <v>8.1690240000000003</v>
      </c>
      <c r="M31" s="43">
        <f>(1-(J31/C31)^(1/(2030-B31)))*100</f>
        <v>0</v>
      </c>
    </row>
    <row r="32" spans="1:20" x14ac:dyDescent="0.25">
      <c r="A32" s="6"/>
      <c r="B32" s="7"/>
      <c r="C32" s="8"/>
      <c r="D32" s="9"/>
      <c r="E32" s="10"/>
      <c r="F32" s="9"/>
      <c r="G32" s="11"/>
      <c r="H32" s="11"/>
      <c r="I32" s="12"/>
      <c r="J32" s="12"/>
      <c r="K32" s="11"/>
      <c r="L32" s="12"/>
      <c r="M32" s="11"/>
      <c r="N32" s="11"/>
      <c r="O32" s="13"/>
      <c r="P32" s="13"/>
      <c r="Q32" s="14"/>
      <c r="R32" s="10"/>
      <c r="S32" s="10"/>
      <c r="T32" s="10"/>
    </row>
    <row r="33" spans="1:20" x14ac:dyDescent="0.25">
      <c r="A33" s="6"/>
      <c r="B33" s="7"/>
      <c r="C33" s="8"/>
      <c r="D33" s="9"/>
      <c r="E33" s="10"/>
      <c r="F33" s="9"/>
      <c r="G33" s="11"/>
      <c r="H33" s="11"/>
      <c r="I33" s="12"/>
      <c r="J33" s="12"/>
      <c r="K33" s="11"/>
      <c r="L33" s="12"/>
      <c r="M33" s="11"/>
      <c r="N33" s="11"/>
      <c r="O33" s="13"/>
      <c r="P33" s="13"/>
      <c r="Q33" s="14"/>
      <c r="R33" s="10"/>
      <c r="S33" s="10"/>
      <c r="T33" s="10"/>
    </row>
    <row r="34" spans="1:20" ht="15.75" thickBot="1" x14ac:dyDescent="0.3">
      <c r="A34" s="6"/>
      <c r="B34" s="7"/>
      <c r="C34" s="8"/>
      <c r="D34" s="9"/>
      <c r="E34" s="10"/>
      <c r="F34" s="9"/>
      <c r="G34" s="11"/>
      <c r="H34" s="11"/>
      <c r="I34" s="12"/>
      <c r="J34" s="12"/>
      <c r="K34" s="11"/>
      <c r="L34" s="12"/>
      <c r="M34" s="11"/>
      <c r="N34" s="11"/>
      <c r="O34" s="13"/>
      <c r="P34" s="13"/>
      <c r="Q34" s="14"/>
      <c r="R34" s="10"/>
      <c r="S34" s="10"/>
      <c r="T34" s="10"/>
    </row>
    <row r="35" spans="1:20" ht="15.75" thickBot="1" x14ac:dyDescent="0.3">
      <c r="A35" s="96" t="s">
        <v>22</v>
      </c>
      <c r="B35" s="97"/>
      <c r="C35" s="97"/>
      <c r="D35" s="97"/>
      <c r="E35" s="97"/>
      <c r="F35" s="97"/>
      <c r="G35" s="97"/>
      <c r="H35" s="98"/>
      <c r="I35" s="12"/>
      <c r="J35" s="12"/>
      <c r="K35" s="11"/>
      <c r="L35" s="12"/>
      <c r="M35" s="11"/>
      <c r="N35" s="11"/>
      <c r="O35" s="13"/>
      <c r="P35" s="13"/>
      <c r="Q35" s="14"/>
      <c r="R35" s="10"/>
      <c r="S35" s="10"/>
      <c r="T35" s="10"/>
    </row>
    <row r="36" spans="1:20" ht="90" thickBot="1" x14ac:dyDescent="0.3">
      <c r="A36" s="5" t="s">
        <v>18</v>
      </c>
      <c r="B36" s="20" t="s">
        <v>19</v>
      </c>
      <c r="C36" s="1" t="s">
        <v>70</v>
      </c>
      <c r="D36" s="4" t="s">
        <v>20</v>
      </c>
      <c r="E36" s="5" t="s">
        <v>21</v>
      </c>
      <c r="F36" s="31" t="s">
        <v>69</v>
      </c>
      <c r="G36" s="32" t="s">
        <v>68</v>
      </c>
      <c r="H36" s="32" t="s">
        <v>40</v>
      </c>
      <c r="I36" s="12"/>
      <c r="J36" s="12"/>
      <c r="K36" s="11"/>
      <c r="L36" s="12"/>
      <c r="M36" s="11"/>
      <c r="N36" s="11"/>
      <c r="O36" s="13"/>
      <c r="P36" s="13"/>
      <c r="Q36" s="14"/>
      <c r="R36" s="10"/>
      <c r="S36" s="10"/>
      <c r="T36" s="10"/>
    </row>
    <row r="37" spans="1:20" ht="15.75" thickBot="1" x14ac:dyDescent="0.3">
      <c r="A37" s="44">
        <f t="array" ref="A37">MIN(IF(NOT(ISBLANK(C9:C22)),IF(C9:C22&gt;=2008,C9:C22)))</f>
        <v>2009</v>
      </c>
      <c r="B37" s="68">
        <v>2014</v>
      </c>
      <c r="C37" s="45">
        <f t="array" ref="C37">IF(B37&gt;=A37,SUM(IF(NOT(ISBLANK(C9:C22)),IF(NOT(ISBLANK(D9:D22)),IF(C9:C22=A37,D9:D22))))*(1-B26/100)^(B37-A37),"")</f>
        <v>1.611751251778105</v>
      </c>
      <c r="D37" s="80">
        <f>(1-((F31/C37)^(1/(2025-A37))))*100</f>
        <v>5.9890747212343225</v>
      </c>
      <c r="E37" s="67">
        <v>5</v>
      </c>
      <c r="F37" s="46">
        <f>C37*(1-E37/100)^(2025-B37)</f>
        <v>0.91676426073808581</v>
      </c>
      <c r="G37" s="47">
        <f>IF(NOT(ISBLANK(G31)),F37/100*G31,"")</f>
        <v>13.031657284110171</v>
      </c>
      <c r="H37" s="48">
        <f>(C31-F37)/C31*100</f>
        <v>-52.794043456347637</v>
      </c>
      <c r="I37" s="12"/>
      <c r="J37" s="12"/>
      <c r="K37" s="11"/>
      <c r="L37" s="12"/>
      <c r="M37" s="11"/>
      <c r="N37" s="11"/>
      <c r="O37" s="13"/>
      <c r="P37" s="13"/>
      <c r="Q37" s="14"/>
      <c r="R37" s="10"/>
      <c r="S37" s="10"/>
      <c r="T37" s="10"/>
    </row>
    <row r="38" spans="1:20" x14ac:dyDescent="0.25">
      <c r="A38" s="6"/>
      <c r="B38" s="7"/>
      <c r="C38" s="8"/>
      <c r="D38" s="9"/>
      <c r="E38" s="10"/>
      <c r="F38" s="9"/>
      <c r="G38" s="11"/>
      <c r="H38" s="11"/>
      <c r="I38" s="12"/>
      <c r="J38" s="12"/>
      <c r="K38" s="11"/>
      <c r="L38" s="12"/>
      <c r="M38" s="11"/>
      <c r="N38" s="11"/>
      <c r="O38" s="13"/>
      <c r="P38" s="13"/>
      <c r="Q38" s="14"/>
      <c r="R38" s="10"/>
      <c r="S38" s="10"/>
      <c r="T38" s="10"/>
    </row>
    <row r="39" spans="1:20" x14ac:dyDescent="0.25">
      <c r="A39" s="15"/>
      <c r="B39" s="15"/>
      <c r="C39" s="15"/>
      <c r="D39" s="9"/>
      <c r="E39" s="10"/>
      <c r="F39" s="9"/>
      <c r="G39" s="11"/>
      <c r="H39" s="11"/>
      <c r="I39" s="12"/>
      <c r="J39" s="12"/>
      <c r="K39" s="11"/>
      <c r="L39" s="12"/>
      <c r="M39" s="12"/>
      <c r="N39" s="11"/>
      <c r="O39" s="11"/>
      <c r="Q39" s="18"/>
      <c r="R39" s="10"/>
      <c r="S39" s="10"/>
      <c r="T39" s="10"/>
    </row>
    <row r="40" spans="1:20" x14ac:dyDescent="0.25">
      <c r="A40" s="15"/>
      <c r="B40" s="7"/>
      <c r="C40" s="8"/>
      <c r="D40" s="9"/>
      <c r="E40" s="10"/>
      <c r="F40" s="9"/>
      <c r="G40" s="11"/>
      <c r="H40" s="11"/>
      <c r="I40" s="12"/>
      <c r="J40" s="12"/>
      <c r="K40" s="11"/>
      <c r="L40" s="77"/>
      <c r="M40" s="11"/>
      <c r="N40" s="11"/>
      <c r="O40" s="11"/>
      <c r="Q40" s="14"/>
      <c r="R40" s="10"/>
      <c r="S40" s="10"/>
      <c r="T40" s="10"/>
    </row>
    <row r="41" spans="1:20" x14ac:dyDescent="0.25">
      <c r="A41" s="15"/>
      <c r="B41" s="7"/>
      <c r="C41" s="8"/>
      <c r="D41" s="9"/>
      <c r="E41" s="10"/>
      <c r="F41" s="9"/>
      <c r="G41" s="11"/>
      <c r="H41" s="11"/>
      <c r="I41" s="12"/>
      <c r="J41" s="12"/>
      <c r="K41" s="11"/>
      <c r="L41" s="12"/>
      <c r="M41" s="11"/>
      <c r="N41" s="11"/>
      <c r="O41" s="75"/>
      <c r="P41" s="75"/>
      <c r="Q41" s="14"/>
      <c r="R41" s="10"/>
      <c r="S41" s="19"/>
      <c r="T41" s="19"/>
    </row>
    <row r="42" spans="1:20" ht="51" x14ac:dyDescent="0.25">
      <c r="K42" s="50" t="s">
        <v>18</v>
      </c>
      <c r="L42" s="50" t="s">
        <v>47</v>
      </c>
      <c r="M42" s="51" t="s">
        <v>23</v>
      </c>
      <c r="N42" s="51" t="s">
        <v>62</v>
      </c>
      <c r="O42" s="11"/>
      <c r="P42" s="75"/>
      <c r="Q42" s="24"/>
      <c r="R42" s="24"/>
      <c r="S42" s="49"/>
      <c r="T42" s="19"/>
    </row>
    <row r="43" spans="1:20" x14ac:dyDescent="0.25">
      <c r="K43" s="33">
        <f>A37</f>
        <v>2009</v>
      </c>
      <c r="L43" s="51">
        <f t="array" ref="L43">SUM(IF(NOT(ISBLANK(C9:C22)),IF(NOT(ISBLANK(D9:D22)),IF(C9:C22=A37,D9:D22))))</f>
        <v>0.8</v>
      </c>
      <c r="M43" s="51">
        <f>(1-((F31/L43)^(1/(2025-A37))))*100</f>
        <v>1.7819451444741063</v>
      </c>
      <c r="N43" s="51">
        <f>(1-((J31/L43)^(1/(2030-A37))))*100</f>
        <v>1.3605740017740953</v>
      </c>
      <c r="O43" s="11"/>
      <c r="P43" s="75"/>
      <c r="Q43" s="24"/>
      <c r="R43" s="24"/>
      <c r="S43" s="49"/>
    </row>
    <row r="44" spans="1:20" x14ac:dyDescent="0.25">
      <c r="K44" s="12"/>
      <c r="L44" s="11"/>
      <c r="M44" s="11"/>
      <c r="O44" s="75"/>
      <c r="P44" s="75"/>
      <c r="Q44" s="24"/>
      <c r="R44" s="24"/>
      <c r="S44" s="49"/>
    </row>
    <row r="45" spans="1:20" x14ac:dyDescent="0.25">
      <c r="O45" s="75"/>
      <c r="P45" s="75"/>
      <c r="Q45" s="24"/>
      <c r="R45" s="24"/>
      <c r="S45" s="49"/>
    </row>
    <row r="46" spans="1:20" ht="90" x14ac:dyDescent="0.25">
      <c r="K46" s="69" t="s">
        <v>7</v>
      </c>
      <c r="L46" s="69" t="s">
        <v>10</v>
      </c>
      <c r="M46" s="69" t="s">
        <v>9</v>
      </c>
      <c r="N46" s="70" t="s">
        <v>25</v>
      </c>
      <c r="O46" s="78"/>
      <c r="P46" s="75"/>
      <c r="S46" s="17"/>
    </row>
    <row r="47" spans="1:20" x14ac:dyDescent="0.25">
      <c r="K47" s="71">
        <f>A37</f>
        <v>2009</v>
      </c>
      <c r="L47" s="72">
        <f t="array" ref="L47">SUM(IF(NOT(ISBLANK(C9:C22)),IF(NOT(ISBLANK(D9:D22)),IF(C9:C22=A37,D9:D22))))</f>
        <v>0.8</v>
      </c>
      <c r="M47" s="72">
        <f>L43</f>
        <v>0.8</v>
      </c>
      <c r="N47" s="72">
        <f>L43</f>
        <v>0.8</v>
      </c>
      <c r="O47" s="79"/>
      <c r="P47" s="75"/>
    </row>
    <row r="48" spans="1:20" x14ac:dyDescent="0.25">
      <c r="K48" s="71">
        <f>IF(ISNUMBER(K47),IF(K47+1&lt;=2030,K47+1,#N/A),#N/A)</f>
        <v>2010</v>
      </c>
      <c r="L48" s="72">
        <f>IF(ISNUMBER(K48),IF(AND(K48&lt;=2030,K48&gt;1900),L47*(1-$B$26/100),#N/A),#N/A)</f>
        <v>0.92030460009346471</v>
      </c>
      <c r="M48" s="72">
        <f>IF(ISNUMBER(K48),IF(AND(K48&lt;=2025,K48&gt;1900),M47*(1-$M$43/100),#N/A),#N/A)</f>
        <v>0.78574443884420719</v>
      </c>
      <c r="N48" s="72">
        <f>IF(ISNUMBER(K48),IF(AND(K48&lt;=2025,K48&gt;1900),N47*(1-$E$37/100),#N/A),#N/A)</f>
        <v>0.76</v>
      </c>
      <c r="O48" s="79"/>
      <c r="P48" s="75"/>
    </row>
    <row r="49" spans="11:16" x14ac:dyDescent="0.25">
      <c r="K49" s="71">
        <f t="shared" ref="K49:K68" si="3">IF(ISNUMBER(K48),IF(K48+1&lt;=2030,K48+1,#N/A),#N/A)</f>
        <v>2011</v>
      </c>
      <c r="L49" s="72">
        <f t="shared" ref="L49:L63" si="4">IF(ISNUMBER(K49),IF(AND(K49&lt;=2030,K49&gt;1900),L48*(1-$B$26/100),#N/A),#N/A)</f>
        <v>1.05870069619149</v>
      </c>
      <c r="M49" s="72">
        <f t="shared" ref="M49:M63" si="5">IF(ISNUMBER(K49),IF(AND(K49&lt;=2025,K49&gt;1900),M48*(1-$M$43/100),#N/A),#N/A)</f>
        <v>0.77174290396824752</v>
      </c>
      <c r="N49" s="72">
        <f t="shared" ref="N49:N63" si="6">IF(ISNUMBER(K49),IF(AND(K49&lt;=2025,K49&gt;1900),N48*(1-$E$37/100),#N/A),#N/A)</f>
        <v>0.72199999999999998</v>
      </c>
      <c r="O49" s="79"/>
      <c r="P49" s="75"/>
    </row>
    <row r="50" spans="11:16" x14ac:dyDescent="0.25">
      <c r="K50" s="71">
        <f t="shared" si="3"/>
        <v>2012</v>
      </c>
      <c r="L50" s="72">
        <f t="shared" si="4"/>
        <v>1.2179089010339772</v>
      </c>
      <c r="M50" s="72">
        <f t="shared" si="5"/>
        <v>0.75799086876316191</v>
      </c>
      <c r="N50" s="72">
        <f t="shared" si="6"/>
        <v>0.68589999999999995</v>
      </c>
      <c r="O50" s="79"/>
      <c r="P50" s="75"/>
    </row>
    <row r="51" spans="11:16" x14ac:dyDescent="0.25">
      <c r="K51" s="71">
        <f t="shared" si="3"/>
        <v>2013</v>
      </c>
      <c r="L51" s="72">
        <f t="shared" si="4"/>
        <v>1.4010589551454318</v>
      </c>
      <c r="M51" s="72">
        <f t="shared" si="5"/>
        <v>0.74448388728167969</v>
      </c>
      <c r="N51" s="72">
        <f t="shared" si="6"/>
        <v>0.65160499999999988</v>
      </c>
      <c r="O51" s="79"/>
      <c r="P51" s="75"/>
    </row>
    <row r="52" spans="11:16" x14ac:dyDescent="0.25">
      <c r="K52" s="71">
        <f t="shared" si="3"/>
        <v>2014</v>
      </c>
      <c r="L52" s="72">
        <f t="shared" si="4"/>
        <v>1.611751251778105</v>
      </c>
      <c r="M52" s="72">
        <f t="shared" si="5"/>
        <v>0.73121759280087173</v>
      </c>
      <c r="N52" s="72">
        <f t="shared" si="6"/>
        <v>0.6190247499999999</v>
      </c>
      <c r="O52" s="79"/>
      <c r="P52" s="75"/>
    </row>
    <row r="53" spans="11:16" x14ac:dyDescent="0.25">
      <c r="K53" s="71">
        <f t="shared" si="3"/>
        <v>2015</v>
      </c>
      <c r="L53" s="72">
        <f t="shared" si="4"/>
        <v>1.8541276140222374</v>
      </c>
      <c r="M53" s="72">
        <f t="shared" si="5"/>
        <v>0.71818769641041613</v>
      </c>
      <c r="N53" s="72">
        <f t="shared" si="6"/>
        <v>0.58807351249999984</v>
      </c>
      <c r="O53" s="79"/>
      <c r="P53" s="75"/>
    </row>
    <row r="54" spans="11:16" x14ac:dyDescent="0.25">
      <c r="K54" s="71">
        <f t="shared" si="3"/>
        <v>2016</v>
      </c>
      <c r="L54" s="72">
        <f t="shared" si="4"/>
        <v>2.1329527154312311</v>
      </c>
      <c r="M54" s="72">
        <f t="shared" si="5"/>
        <v>0.70538998562602029</v>
      </c>
      <c r="N54" s="72">
        <f t="shared" si="6"/>
        <v>0.55866983687499983</v>
      </c>
      <c r="O54" s="79"/>
      <c r="P54" s="75"/>
    </row>
    <row r="55" spans="11:16" x14ac:dyDescent="0.25">
      <c r="K55" s="71">
        <f t="shared" si="3"/>
        <v>2017</v>
      </c>
      <c r="L55" s="72">
        <f t="shared" si="4"/>
        <v>2.4537077447415108</v>
      </c>
      <c r="M55" s="72">
        <f t="shared" si="5"/>
        <v>0.69282032302755081</v>
      </c>
      <c r="N55" s="72">
        <f t="shared" si="6"/>
        <v>0.53073634503124978</v>
      </c>
      <c r="O55" s="79"/>
      <c r="P55" s="75"/>
    </row>
    <row r="56" spans="11:16" x14ac:dyDescent="0.25">
      <c r="K56" s="71">
        <f t="shared" si="3"/>
        <v>2018</v>
      </c>
      <c r="L56" s="72">
        <f t="shared" si="4"/>
        <v>2.8226981559632165</v>
      </c>
      <c r="M56" s="72">
        <f t="shared" si="5"/>
        <v>0.6804746449214315</v>
      </c>
      <c r="N56" s="72">
        <f t="shared" si="6"/>
        <v>0.50419952777968724</v>
      </c>
      <c r="O56" s="79"/>
      <c r="P56" s="75"/>
    </row>
    <row r="57" spans="11:16" x14ac:dyDescent="0.25">
      <c r="K57" s="71">
        <f t="shared" si="3"/>
        <v>2019</v>
      </c>
      <c r="L57" s="72">
        <f t="shared" si="4"/>
        <v>3.2471776220103603</v>
      </c>
      <c r="M57" s="72">
        <f t="shared" si="5"/>
        <v>0.6683489600268766</v>
      </c>
      <c r="N57" s="72">
        <f t="shared" si="6"/>
        <v>0.47898955139070287</v>
      </c>
      <c r="O57" s="79"/>
      <c r="P57" s="75"/>
    </row>
    <row r="58" spans="11:16" x14ac:dyDescent="0.25">
      <c r="K58" s="71">
        <f t="shared" si="3"/>
        <v>2020</v>
      </c>
      <c r="L58" s="72">
        <f t="shared" si="4"/>
        <v>3.7354906285708651</v>
      </c>
      <c r="M58" s="72">
        <f t="shared" si="5"/>
        <v>0.65643934818553451</v>
      </c>
      <c r="N58" s="72">
        <f t="shared" si="6"/>
        <v>0.45504007382116773</v>
      </c>
      <c r="O58" s="79"/>
      <c r="P58" s="75"/>
    </row>
    <row r="59" spans="11:16" x14ac:dyDescent="0.25">
      <c r="K59" s="71">
        <f t="shared" si="3"/>
        <v>2021</v>
      </c>
      <c r="L59" s="72">
        <f t="shared" si="4"/>
        <v>4.2972365113497437</v>
      </c>
      <c r="M59" s="72">
        <f t="shared" si="5"/>
        <v>0.64474195909412491</v>
      </c>
      <c r="N59" s="72">
        <f t="shared" si="6"/>
        <v>0.43228807013010934</v>
      </c>
      <c r="O59" s="79"/>
      <c r="P59" s="75"/>
    </row>
    <row r="60" spans="11:16" x14ac:dyDescent="0.25">
      <c r="K60" s="71">
        <f t="shared" si="3"/>
        <v>2022</v>
      </c>
      <c r="L60" s="72">
        <f t="shared" si="4"/>
        <v>4.9434581613559514</v>
      </c>
      <c r="M60" s="72">
        <f t="shared" si="5"/>
        <v>0.63325301105965992</v>
      </c>
      <c r="N60" s="72">
        <f t="shared" si="6"/>
        <v>0.41067366662360383</v>
      </c>
      <c r="O60" s="79"/>
      <c r="P60" s="75"/>
    </row>
    <row r="61" spans="11:16" x14ac:dyDescent="0.25">
      <c r="K61" s="71">
        <f t="shared" si="3"/>
        <v>2023</v>
      </c>
      <c r="L61" s="72">
        <f t="shared" si="4"/>
        <v>5.6868591078318289</v>
      </c>
      <c r="M61" s="72">
        <f t="shared" si="5"/>
        <v>0.62196878977684622</v>
      </c>
      <c r="N61" s="72">
        <f t="shared" si="6"/>
        <v>0.39013998329242361</v>
      </c>
      <c r="O61" s="79"/>
      <c r="P61" s="75"/>
    </row>
    <row r="62" spans="11:16" x14ac:dyDescent="0.25">
      <c r="K62" s="71">
        <f t="shared" si="3"/>
        <v>2024</v>
      </c>
      <c r="L62" s="72">
        <f t="shared" si="4"/>
        <v>6.5420532462763106</v>
      </c>
      <c r="M62" s="72">
        <f t="shared" si="5"/>
        <v>0.61088564712727333</v>
      </c>
      <c r="N62" s="72">
        <f t="shared" si="6"/>
        <v>0.37063298412780243</v>
      </c>
      <c r="O62" s="79"/>
      <c r="P62" s="75"/>
    </row>
    <row r="63" spans="11:16" x14ac:dyDescent="0.25">
      <c r="K63" s="71">
        <f t="shared" si="3"/>
        <v>2025</v>
      </c>
      <c r="L63" s="72">
        <f t="shared" si="4"/>
        <v>7.52585212075559</v>
      </c>
      <c r="M63" s="72">
        <f t="shared" si="5"/>
        <v>0.59999999999999964</v>
      </c>
      <c r="N63" s="72">
        <f t="shared" si="6"/>
        <v>0.35210133492141232</v>
      </c>
      <c r="O63" s="79"/>
      <c r="P63" s="75"/>
    </row>
    <row r="64" spans="11:16" x14ac:dyDescent="0.25">
      <c r="K64" s="71">
        <f>IF(ISNUMBER(K63),IF(K63+1&lt;=2030,K63+1,#N/A),#N/A)</f>
        <v>2026</v>
      </c>
      <c r="L64" s="72">
        <f>IF(ISNUMBER(K64),IF(AND(K64&lt;=2030,K64&gt;1900),L63*(1-$B$26/100),#N/A),#N/A)</f>
        <v>8.6575954079431572</v>
      </c>
      <c r="M64" s="72">
        <f>IF(ISNUMBER(K64),IF(AND(K64&lt;=2030,K64&gt;2025),M63*(1-$N$43/100),#N/A),#N/A)</f>
        <v>0.59183655598935503</v>
      </c>
      <c r="N64" s="72">
        <f>IF(ISNUMBER(K64),IF(AND(K64&lt;=2030,K64&gt;2025),N63*(1-$E$37/100),#N/A),#N/A)</f>
        <v>0.33449626817534167</v>
      </c>
      <c r="O64" s="79"/>
      <c r="P64" s="75"/>
    </row>
    <row r="65" spans="11:16" x14ac:dyDescent="0.25">
      <c r="K65" s="71">
        <f t="shared" si="3"/>
        <v>2027</v>
      </c>
      <c r="L65" s="72">
        <f t="shared" ref="L65:L68" si="7">IF(ISNUMBER(K65),IF(AND(K65&lt;=2030,K65&gt;1900),L64*(1-$B$26/100),#N/A),#N/A)</f>
        <v>9.9595310995976796</v>
      </c>
      <c r="M65" s="72">
        <f t="shared" ref="M65:M68" si="8">IF(ISNUMBER(K65),IF(AND(K65&lt;=2030,K65&gt;2025),M64*(1-$N$43/100),#N/A),#N/A)</f>
        <v>0.58378418167556867</v>
      </c>
      <c r="N65" s="72">
        <f t="shared" ref="N65:N68" si="9">IF(ISNUMBER(K65),IF(AND(K65&lt;=2030,K65&gt;2025),N64*(1-$E$37/100),#N/A),#N/A)</f>
        <v>0.31777145476657459</v>
      </c>
      <c r="O65" s="79"/>
      <c r="P65" s="75"/>
    </row>
    <row r="66" spans="11:16" x14ac:dyDescent="0.25">
      <c r="K66" s="71">
        <f t="shared" si="3"/>
        <v>2028</v>
      </c>
      <c r="L66" s="72">
        <f t="shared" si="7"/>
        <v>11.457252857167084</v>
      </c>
      <c r="M66" s="72">
        <f t="shared" si="8"/>
        <v>0.57584136587322121</v>
      </c>
      <c r="N66" s="72">
        <f t="shared" si="9"/>
        <v>0.30188288202824587</v>
      </c>
      <c r="O66" s="79"/>
      <c r="P66" s="75"/>
    </row>
    <row r="67" spans="11:16" x14ac:dyDescent="0.25">
      <c r="K67" s="71">
        <f t="shared" si="3"/>
        <v>2029</v>
      </c>
      <c r="L67" s="72">
        <f t="shared" si="7"/>
        <v>13.180203136106075</v>
      </c>
      <c r="M67" s="72">
        <f t="shared" si="8"/>
        <v>0.56800661795768936</v>
      </c>
      <c r="N67" s="72">
        <f t="shared" si="9"/>
        <v>0.28678873792683357</v>
      </c>
      <c r="O67" s="79"/>
      <c r="P67" s="75"/>
    </row>
    <row r="68" spans="11:16" x14ac:dyDescent="0.25">
      <c r="K68" s="71">
        <f t="shared" si="3"/>
        <v>2030</v>
      </c>
      <c r="L68" s="72">
        <f t="shared" si="7"/>
        <v>15.162251970405912</v>
      </c>
      <c r="M68" s="72">
        <f t="shared" si="8"/>
        <v>0.56027846758540079</v>
      </c>
      <c r="N68" s="72">
        <f t="shared" si="9"/>
        <v>0.27244930103049186</v>
      </c>
      <c r="O68" s="79"/>
      <c r="P68" s="75"/>
    </row>
    <row r="69" spans="11:16" x14ac:dyDescent="0.25">
      <c r="K69" s="71" t="e">
        <f>IF(ISNUMBER(K63),IF(K63+1&lt;=2025,K63+1,#N/A),#N/A)</f>
        <v>#N/A</v>
      </c>
      <c r="L69" s="72" t="e">
        <f>IF(ISNUMBER(K69),IF(AND(K69&lt;=2025,K69&gt;1900),ROUND(L63*(1-$B$26/100),1),#N/A),#N/A)</f>
        <v>#N/A</v>
      </c>
      <c r="M69" s="72" t="e">
        <f>IF(ISNUMBER(K69),IF(AND(K69&lt;=2025,K69&gt;1900),ROUND(M63*(1-$M$43/100),1),#N/A),#N/A)</f>
        <v>#N/A</v>
      </c>
      <c r="N69" s="72" t="e">
        <f>IF(ISNUMBER(K69),IF(AND(K69&lt;=2025,K69&gt;1900),ROUND(N63*(1-$E$37/100),1),#N/A),#N/A)</f>
        <v>#N/A</v>
      </c>
      <c r="O69" s="79"/>
      <c r="P69" s="75"/>
    </row>
    <row r="70" spans="11:16" x14ac:dyDescent="0.25">
      <c r="K70" s="75"/>
      <c r="L70" s="75"/>
      <c r="M70" s="75"/>
      <c r="N70" s="75"/>
      <c r="O70" s="75"/>
      <c r="P70" s="75"/>
    </row>
  </sheetData>
  <mergeCells count="6">
    <mergeCell ref="Q29:T29"/>
    <mergeCell ref="A35:H35"/>
    <mergeCell ref="A29:A30"/>
    <mergeCell ref="B29:E29"/>
    <mergeCell ref="F29:I29"/>
    <mergeCell ref="J29:M29"/>
  </mergeCells>
  <pageMargins left="0.7" right="0.7" top="0.75" bottom="0.75" header="0.3" footer="0.3"/>
  <pageSetup paperSize="9" scale="4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6"/>
  <sheetViews>
    <sheetView tabSelected="1" workbookViewId="0">
      <selection activeCell="A2" sqref="A2"/>
    </sheetView>
  </sheetViews>
  <sheetFormatPr defaultRowHeight="15" x14ac:dyDescent="0.25"/>
  <cols>
    <col min="1" max="1" width="16.7109375" customWidth="1"/>
    <col min="2" max="3" width="11.42578125" customWidth="1"/>
    <col min="4" max="4" width="12.28515625" customWidth="1"/>
    <col min="5" max="5" width="15.7109375" customWidth="1"/>
    <col min="6" max="6" width="16.42578125" customWidth="1"/>
    <col min="7" max="7" width="14" customWidth="1"/>
    <col min="8" max="8" width="13.28515625" customWidth="1"/>
    <col min="9" max="9" width="12.85546875" customWidth="1"/>
    <col min="10" max="10" width="13.7109375" customWidth="1"/>
    <col min="11" max="16" width="13.42578125" customWidth="1"/>
    <col min="17" max="17" width="15.42578125" customWidth="1"/>
    <col min="18" max="18" width="14.140625" customWidth="1"/>
    <col min="19" max="19" width="12.7109375" customWidth="1"/>
    <col min="20" max="20" width="14.140625" customWidth="1"/>
    <col min="21" max="21" width="14.5703125" customWidth="1"/>
  </cols>
  <sheetData>
    <row r="1" spans="1:16" ht="26.25" x14ac:dyDescent="0.4">
      <c r="A1" s="26" t="s">
        <v>74</v>
      </c>
    </row>
    <row r="2" spans="1:16" ht="26.25" x14ac:dyDescent="0.4">
      <c r="A2" s="26"/>
    </row>
    <row r="3" spans="1:16" ht="18.75" x14ac:dyDescent="0.3">
      <c r="A3" s="52" t="s">
        <v>24</v>
      </c>
      <c r="B3" s="53"/>
      <c r="C3" s="53"/>
      <c r="D3" s="53"/>
      <c r="E3" s="53"/>
    </row>
    <row r="4" spans="1:16" x14ac:dyDescent="0.25">
      <c r="A4" s="16"/>
    </row>
    <row r="5" spans="1:16" x14ac:dyDescent="0.25">
      <c r="A5" s="16"/>
    </row>
    <row r="6" spans="1:16" ht="18.75" x14ac:dyDescent="0.3">
      <c r="A6" s="21" t="s">
        <v>45</v>
      </c>
      <c r="G6" t="s">
        <v>13</v>
      </c>
    </row>
    <row r="7" spans="1:16" ht="18.75" x14ac:dyDescent="0.3">
      <c r="A7" s="21"/>
      <c r="K7" s="22"/>
      <c r="L7" s="22"/>
      <c r="M7" s="22"/>
      <c r="N7" s="22"/>
      <c r="O7" s="22"/>
      <c r="P7" s="22"/>
    </row>
    <row r="8" spans="1:16" ht="50.25" customHeight="1" x14ac:dyDescent="0.25">
      <c r="A8" s="27" t="s">
        <v>12</v>
      </c>
      <c r="B8" s="27" t="s">
        <v>39</v>
      </c>
      <c r="C8" s="28" t="s">
        <v>0</v>
      </c>
      <c r="D8" s="74" t="s">
        <v>51</v>
      </c>
      <c r="E8" s="74" t="s">
        <v>35</v>
      </c>
      <c r="G8" s="28" t="s">
        <v>0</v>
      </c>
      <c r="H8" s="74" t="s">
        <v>51</v>
      </c>
      <c r="I8" s="28" t="s">
        <v>52</v>
      </c>
    </row>
    <row r="9" spans="1:16" x14ac:dyDescent="0.25">
      <c r="A9" s="61" t="s">
        <v>54</v>
      </c>
      <c r="B9" s="61" t="s">
        <v>55</v>
      </c>
      <c r="C9" s="62">
        <v>1987</v>
      </c>
      <c r="D9" s="61">
        <v>14.9</v>
      </c>
      <c r="E9" s="63">
        <v>1883.7030000000002</v>
      </c>
      <c r="G9" s="33" t="str">
        <f t="shared" ref="G9:G22" si="0">IF(ISBLANK(C9),"",IF(C9&gt;=2008,C9,""))</f>
        <v/>
      </c>
      <c r="H9" s="34" t="str">
        <f t="shared" ref="H9:H22" si="1">IF(ISBLANK(D9),"",IF(C9&gt;=2008,D9,""))</f>
        <v/>
      </c>
      <c r="I9" s="35" t="str">
        <f t="shared" ref="I9:I22" si="2">IFERROR(IF(H9&gt;0,LN(H9),""),"")</f>
        <v/>
      </c>
    </row>
    <row r="10" spans="1:16" x14ac:dyDescent="0.25">
      <c r="A10" s="61" t="s">
        <v>54</v>
      </c>
      <c r="B10" s="61" t="s">
        <v>56</v>
      </c>
      <c r="C10" s="62">
        <v>1993</v>
      </c>
      <c r="D10" s="61">
        <v>17.5</v>
      </c>
      <c r="E10" s="63">
        <v>1723.8450000000003</v>
      </c>
      <c r="G10" s="33" t="str">
        <f t="shared" si="0"/>
        <v/>
      </c>
      <c r="H10" s="34" t="str">
        <f t="shared" si="1"/>
        <v/>
      </c>
      <c r="I10" s="35" t="str">
        <f t="shared" si="2"/>
        <v/>
      </c>
    </row>
    <row r="11" spans="1:16" x14ac:dyDescent="0.25">
      <c r="A11" s="61" t="s">
        <v>54</v>
      </c>
      <c r="B11" s="64" t="s">
        <v>57</v>
      </c>
      <c r="C11" s="62">
        <v>1995</v>
      </c>
      <c r="D11" s="61">
        <v>15.3</v>
      </c>
      <c r="E11" s="63">
        <v>1716.653</v>
      </c>
      <c r="G11" s="33" t="str">
        <f t="shared" si="0"/>
        <v/>
      </c>
      <c r="H11" s="34" t="str">
        <f t="shared" si="1"/>
        <v/>
      </c>
      <c r="I11" s="35" t="str">
        <f t="shared" si="2"/>
        <v/>
      </c>
    </row>
    <row r="12" spans="1:16" x14ac:dyDescent="0.25">
      <c r="A12" s="61" t="s">
        <v>54</v>
      </c>
      <c r="B12" s="64" t="s">
        <v>58</v>
      </c>
      <c r="C12" s="62">
        <v>2000</v>
      </c>
      <c r="D12" s="61">
        <v>15.5</v>
      </c>
      <c r="E12" s="63">
        <v>1641.607</v>
      </c>
      <c r="G12" s="33" t="str">
        <f t="shared" si="0"/>
        <v/>
      </c>
      <c r="H12" s="34" t="str">
        <f t="shared" si="1"/>
        <v/>
      </c>
      <c r="I12" s="35" t="str">
        <f t="shared" si="2"/>
        <v/>
      </c>
    </row>
    <row r="13" spans="1:16" x14ac:dyDescent="0.25">
      <c r="A13" s="61" t="s">
        <v>54</v>
      </c>
      <c r="B13" s="64" t="s">
        <v>59</v>
      </c>
      <c r="C13" s="62">
        <v>2007</v>
      </c>
      <c r="D13" s="61">
        <v>14.7</v>
      </c>
      <c r="E13" s="63">
        <v>1797.145</v>
      </c>
      <c r="G13" s="33" t="str">
        <f t="shared" si="0"/>
        <v/>
      </c>
      <c r="H13" s="34" t="str">
        <f t="shared" si="1"/>
        <v/>
      </c>
      <c r="I13" s="35" t="str">
        <f t="shared" si="2"/>
        <v/>
      </c>
    </row>
    <row r="14" spans="1:16" x14ac:dyDescent="0.25">
      <c r="A14" s="61" t="s">
        <v>54</v>
      </c>
      <c r="B14" s="64" t="s">
        <v>60</v>
      </c>
      <c r="C14" s="62">
        <v>2009</v>
      </c>
      <c r="D14" s="61">
        <v>11.8</v>
      </c>
      <c r="E14" s="63">
        <v>1797.296</v>
      </c>
      <c r="G14" s="33">
        <f t="shared" si="0"/>
        <v>2009</v>
      </c>
      <c r="H14" s="34">
        <f t="shared" si="1"/>
        <v>11.8</v>
      </c>
      <c r="I14" s="35">
        <f t="shared" si="2"/>
        <v>2.4680995314716192</v>
      </c>
    </row>
    <row r="15" spans="1:16" x14ac:dyDescent="0.25">
      <c r="A15" s="61" t="s">
        <v>54</v>
      </c>
      <c r="B15" s="64" t="s">
        <v>61</v>
      </c>
      <c r="C15" s="62">
        <v>2012</v>
      </c>
      <c r="D15" s="61">
        <v>21.4</v>
      </c>
      <c r="E15" s="63">
        <v>1743.692</v>
      </c>
      <c r="G15" s="33">
        <f t="shared" si="0"/>
        <v>2012</v>
      </c>
      <c r="H15" s="34">
        <f t="shared" si="1"/>
        <v>21.4</v>
      </c>
      <c r="I15" s="35">
        <f t="shared" si="2"/>
        <v>3.0633909220278057</v>
      </c>
    </row>
    <row r="16" spans="1:16" x14ac:dyDescent="0.25">
      <c r="A16" s="61" t="s">
        <v>54</v>
      </c>
      <c r="B16" s="64">
        <v>2016</v>
      </c>
      <c r="C16" s="62">
        <v>2016</v>
      </c>
      <c r="D16" s="61">
        <v>15.1</v>
      </c>
      <c r="E16" s="63">
        <v>1601.546</v>
      </c>
      <c r="G16" s="33">
        <f t="shared" si="0"/>
        <v>2016</v>
      </c>
      <c r="H16" s="34">
        <f t="shared" si="1"/>
        <v>15.1</v>
      </c>
      <c r="I16" s="35">
        <f t="shared" si="2"/>
        <v>2.7146947438208788</v>
      </c>
      <c r="L16" s="29"/>
    </row>
    <row r="17" spans="1:20" x14ac:dyDescent="0.25">
      <c r="A17" s="61"/>
      <c r="B17" s="64"/>
      <c r="C17" s="65"/>
      <c r="D17" s="61"/>
      <c r="E17" s="63"/>
      <c r="G17" s="33" t="str">
        <f t="shared" si="0"/>
        <v/>
      </c>
      <c r="H17" s="34" t="str">
        <f t="shared" si="1"/>
        <v/>
      </c>
      <c r="I17" s="35" t="str">
        <f t="shared" si="2"/>
        <v/>
      </c>
    </row>
    <row r="18" spans="1:20" x14ac:dyDescent="0.25">
      <c r="A18" s="61"/>
      <c r="B18" s="64"/>
      <c r="C18" s="65"/>
      <c r="D18" s="61"/>
      <c r="E18" s="63"/>
      <c r="G18" s="33" t="str">
        <f t="shared" si="0"/>
        <v/>
      </c>
      <c r="H18" s="34" t="str">
        <f t="shared" si="1"/>
        <v/>
      </c>
      <c r="I18" s="35" t="str">
        <f t="shared" si="2"/>
        <v/>
      </c>
    </row>
    <row r="19" spans="1:20" x14ac:dyDescent="0.25">
      <c r="A19" s="61"/>
      <c r="B19" s="64"/>
      <c r="C19" s="65"/>
      <c r="D19" s="61"/>
      <c r="E19" s="63"/>
      <c r="G19" s="33" t="str">
        <f t="shared" si="0"/>
        <v/>
      </c>
      <c r="H19" s="34" t="str">
        <f t="shared" si="1"/>
        <v/>
      </c>
      <c r="I19" s="35" t="str">
        <f t="shared" si="2"/>
        <v/>
      </c>
    </row>
    <row r="20" spans="1:20" x14ac:dyDescent="0.25">
      <c r="A20" s="61"/>
      <c r="B20" s="64"/>
      <c r="C20" s="65"/>
      <c r="D20" s="61"/>
      <c r="E20" s="63"/>
      <c r="G20" s="33" t="str">
        <f t="shared" si="0"/>
        <v/>
      </c>
      <c r="H20" s="34" t="str">
        <f t="shared" si="1"/>
        <v/>
      </c>
      <c r="I20" s="35" t="str">
        <f t="shared" si="2"/>
        <v/>
      </c>
    </row>
    <row r="21" spans="1:20" x14ac:dyDescent="0.25">
      <c r="A21" s="61"/>
      <c r="B21" s="64"/>
      <c r="C21" s="65"/>
      <c r="D21" s="61"/>
      <c r="E21" s="63"/>
      <c r="G21" s="33" t="str">
        <f t="shared" si="0"/>
        <v/>
      </c>
      <c r="H21" s="34" t="str">
        <f t="shared" si="1"/>
        <v/>
      </c>
      <c r="I21" s="35" t="str">
        <f t="shared" si="2"/>
        <v/>
      </c>
    </row>
    <row r="22" spans="1:20" x14ac:dyDescent="0.25">
      <c r="A22" s="61"/>
      <c r="B22" s="64"/>
      <c r="C22" s="65"/>
      <c r="D22" s="61"/>
      <c r="E22" s="63"/>
      <c r="G22" s="33" t="str">
        <f t="shared" si="0"/>
        <v/>
      </c>
      <c r="H22" s="34" t="str">
        <f t="shared" si="1"/>
        <v/>
      </c>
      <c r="I22" s="35" t="str">
        <f t="shared" si="2"/>
        <v/>
      </c>
    </row>
    <row r="23" spans="1:20" x14ac:dyDescent="0.25">
      <c r="F23" s="22"/>
      <c r="G23" s="22"/>
      <c r="H23" s="22"/>
      <c r="I23" s="25"/>
      <c r="J23" s="22"/>
      <c r="K23" s="22"/>
    </row>
    <row r="24" spans="1:20" x14ac:dyDescent="0.25">
      <c r="F24" s="22"/>
      <c r="G24" s="22"/>
      <c r="H24" s="22"/>
      <c r="I24" s="25"/>
      <c r="J24" s="22"/>
      <c r="K24" s="22"/>
    </row>
    <row r="26" spans="1:20" x14ac:dyDescent="0.25">
      <c r="A26" s="36" t="s">
        <v>6</v>
      </c>
      <c r="B26" s="37">
        <f>100*(1-EXP(SLOPE(IF(ISNA(I9:I22),"",I9:I22),IF(ISNA(G9:G22),"",G9:G22))))</f>
        <v>-2.9024809464660573</v>
      </c>
    </row>
    <row r="28" spans="1:20" ht="15.75" thickBot="1" x14ac:dyDescent="0.3">
      <c r="Q28" s="24"/>
      <c r="R28" s="24"/>
      <c r="S28" s="24"/>
      <c r="T28" s="24"/>
    </row>
    <row r="29" spans="1:20" ht="15.75" thickBot="1" x14ac:dyDescent="0.3">
      <c r="A29" s="88" t="s">
        <v>12</v>
      </c>
      <c r="B29" s="90" t="s">
        <v>15</v>
      </c>
      <c r="C29" s="90"/>
      <c r="D29" s="90"/>
      <c r="E29" s="91"/>
      <c r="F29" s="93" t="s">
        <v>65</v>
      </c>
      <c r="G29" s="94"/>
      <c r="H29" s="94"/>
      <c r="I29" s="95"/>
      <c r="J29" s="99" t="s">
        <v>66</v>
      </c>
      <c r="K29" s="100"/>
      <c r="L29" s="100"/>
      <c r="M29" s="101"/>
      <c r="O29" s="73"/>
      <c r="P29" s="73"/>
      <c r="Q29" s="92"/>
      <c r="R29" s="92"/>
      <c r="S29" s="92"/>
      <c r="T29" s="92"/>
    </row>
    <row r="30" spans="1:20" ht="64.5" thickBot="1" x14ac:dyDescent="0.3">
      <c r="A30" s="89"/>
      <c r="B30" s="23" t="s">
        <v>38</v>
      </c>
      <c r="C30" s="1" t="s">
        <v>48</v>
      </c>
      <c r="D30" s="1" t="s">
        <v>1</v>
      </c>
      <c r="E30" s="2" t="s">
        <v>49</v>
      </c>
      <c r="F30" s="3" t="s">
        <v>50</v>
      </c>
      <c r="G30" s="3" t="s">
        <v>4</v>
      </c>
      <c r="H30" s="1" t="s">
        <v>49</v>
      </c>
      <c r="I30" s="5" t="s">
        <v>37</v>
      </c>
      <c r="J30" s="3" t="s">
        <v>50</v>
      </c>
      <c r="K30" s="3" t="s">
        <v>4</v>
      </c>
      <c r="L30" s="1" t="s">
        <v>49</v>
      </c>
      <c r="M30" s="5" t="s">
        <v>37</v>
      </c>
      <c r="P30" s="24"/>
      <c r="Q30" s="24"/>
      <c r="R30" s="24"/>
      <c r="S30" s="24"/>
    </row>
    <row r="31" spans="1:20" ht="15.75" thickBot="1" x14ac:dyDescent="0.3">
      <c r="A31" s="38" t="str">
        <f>A9</f>
        <v>SRI LANKA</v>
      </c>
      <c r="B31" s="39">
        <f t="array" ref="B31">IF(MAX(IF(NOT(ISBLANK(C9:C22)),IF(C9:C22&gt;=2005,IF(C9:C22&lt;=2012,C9:C22))))&gt;0,MAX(IF(NOT(ISBLANK(C9:C22)),IF(C9:C22&gt;=2005,IF(C9:C22&lt;=2012,C9:C22)))),MIN(IF(NOT(ISBLANK(C9:C22)),IF(C9:C22&gt;2012,C9:C22))))</f>
        <v>2012</v>
      </c>
      <c r="C31" s="40">
        <f t="array" ref="C31">SUM(IF(NOT(ISBLANK(C9:C22)),IF(NOT(ISBLANK(D9:D22)),IF(C9:C22=B31,D9:D22))))</f>
        <v>21.4</v>
      </c>
      <c r="D31" s="41">
        <f t="array" ref="D31">IF(SUM(IF(NOT(ISBLANK(C9:C22)),IF(NOT(ISBLANK(D9:D22)),IF(C9:C22=B31,E9:E22))))&gt;0,SUM(IF(NOT(ISBLANK(C9:C22)),IF(NOT(ISBLANK(D9:D22)),IF(C9:C22=B31,E9:E22)))),"")</f>
        <v>1743.692</v>
      </c>
      <c r="E31" s="42">
        <f>C31/100*D31</f>
        <v>373.15008799999998</v>
      </c>
      <c r="F31" s="41">
        <v>5</v>
      </c>
      <c r="G31" s="66">
        <v>1421.4839999999999</v>
      </c>
      <c r="H31" s="41">
        <f>F31/100*G31</f>
        <v>71.074200000000005</v>
      </c>
      <c r="I31" s="43">
        <f>ROUND((1-(F31/C31)^(1/(2025-B31)))*100,1)</f>
        <v>10.6</v>
      </c>
      <c r="J31" s="41">
        <v>3</v>
      </c>
      <c r="K31" s="66">
        <v>1361.5039999999999</v>
      </c>
      <c r="L31" s="41">
        <f>J31/100*K31</f>
        <v>40.845119999999994</v>
      </c>
      <c r="M31" s="43">
        <f>ROUND((1-(J31/C31)^(1/(2030-B31)))*100,1)</f>
        <v>10.3</v>
      </c>
    </row>
    <row r="32" spans="1:20" x14ac:dyDescent="0.25">
      <c r="A32" s="6"/>
      <c r="B32" s="7"/>
      <c r="C32" s="8"/>
      <c r="D32" s="9"/>
      <c r="E32" s="10"/>
      <c r="F32" s="9"/>
      <c r="G32" s="11"/>
      <c r="H32" s="11"/>
      <c r="I32" s="12"/>
      <c r="J32" s="12"/>
      <c r="K32" s="11"/>
      <c r="L32" s="12"/>
      <c r="M32" s="11"/>
      <c r="N32" s="11"/>
      <c r="O32" s="13"/>
      <c r="P32" s="13"/>
      <c r="Q32" s="14"/>
      <c r="R32" s="10"/>
      <c r="S32" s="10"/>
      <c r="T32" s="10"/>
    </row>
    <row r="33" spans="1:20" x14ac:dyDescent="0.25">
      <c r="A33" s="6"/>
      <c r="B33" s="7"/>
      <c r="C33" s="8"/>
      <c r="D33" s="9"/>
      <c r="E33" s="10"/>
      <c r="F33" s="9"/>
      <c r="G33" s="11"/>
      <c r="H33" s="11"/>
      <c r="I33" s="12"/>
      <c r="J33" s="12"/>
      <c r="K33" s="11"/>
      <c r="L33" s="12"/>
      <c r="M33" s="11"/>
      <c r="N33" s="11"/>
      <c r="O33" s="13"/>
      <c r="P33" s="13"/>
      <c r="Q33" s="14"/>
      <c r="R33" s="10"/>
      <c r="S33" s="10"/>
      <c r="T33" s="10"/>
    </row>
    <row r="34" spans="1:20" x14ac:dyDescent="0.25">
      <c r="A34" s="15"/>
      <c r="B34" s="15"/>
      <c r="C34" s="15"/>
      <c r="D34" s="9"/>
      <c r="E34" s="10"/>
      <c r="F34" s="9"/>
      <c r="G34" s="11"/>
      <c r="H34" s="11"/>
      <c r="I34" s="12"/>
      <c r="J34" s="12"/>
      <c r="K34" s="11"/>
      <c r="L34" s="12"/>
      <c r="M34" s="12"/>
      <c r="N34" s="11"/>
      <c r="O34" s="11"/>
      <c r="Q34" s="18"/>
      <c r="R34" s="10"/>
      <c r="S34" s="10"/>
      <c r="T34" s="10"/>
    </row>
    <row r="35" spans="1:20" x14ac:dyDescent="0.25">
      <c r="A35" s="15"/>
      <c r="B35" s="7"/>
      <c r="C35" s="8"/>
      <c r="D35" s="9"/>
      <c r="E35" s="10"/>
      <c r="F35" s="9"/>
      <c r="G35" s="11"/>
      <c r="H35" s="11"/>
      <c r="I35" s="12"/>
      <c r="J35" s="12"/>
      <c r="K35" s="11"/>
      <c r="L35" s="77"/>
      <c r="M35" s="11"/>
      <c r="N35" s="11"/>
      <c r="O35" s="11"/>
      <c r="Q35" s="14"/>
      <c r="R35" s="10"/>
      <c r="S35" s="10"/>
      <c r="T35" s="10"/>
    </row>
    <row r="36" spans="1:20" x14ac:dyDescent="0.25">
      <c r="A36" s="15"/>
      <c r="B36" s="7"/>
      <c r="C36" s="8"/>
      <c r="D36" s="9"/>
      <c r="E36" s="10"/>
      <c r="F36" s="9"/>
      <c r="G36" s="11"/>
      <c r="H36" s="11"/>
      <c r="I36" s="12"/>
      <c r="J36" s="12"/>
      <c r="K36" s="11"/>
      <c r="L36" s="12"/>
      <c r="M36" s="11"/>
      <c r="N36" s="11"/>
      <c r="O36" s="75"/>
      <c r="P36" s="75"/>
      <c r="Q36" s="14"/>
      <c r="R36" s="10"/>
      <c r="S36" s="19"/>
      <c r="T36" s="19"/>
    </row>
    <row r="37" spans="1:20" x14ac:dyDescent="0.25">
      <c r="K37" s="12"/>
      <c r="L37" s="12" t="s">
        <v>9</v>
      </c>
      <c r="M37" s="11"/>
      <c r="N37" s="11"/>
      <c r="O37" s="11"/>
      <c r="P37" s="75"/>
      <c r="Q37" s="24"/>
      <c r="R37" s="24"/>
      <c r="S37" s="49"/>
      <c r="T37" s="19"/>
    </row>
    <row r="38" spans="1:20" x14ac:dyDescent="0.25">
      <c r="K38" s="83">
        <v>2012</v>
      </c>
      <c r="L38" s="84">
        <v>5</v>
      </c>
      <c r="M38" s="11"/>
      <c r="N38" s="11"/>
      <c r="O38" s="11"/>
      <c r="P38" s="75"/>
      <c r="Q38" s="24"/>
      <c r="R38" s="24"/>
      <c r="S38" s="49"/>
    </row>
    <row r="39" spans="1:20" x14ac:dyDescent="0.25">
      <c r="K39" s="85">
        <v>2025</v>
      </c>
      <c r="L39" s="84">
        <v>5</v>
      </c>
      <c r="M39" s="11"/>
      <c r="N39" s="75"/>
      <c r="O39" s="75"/>
      <c r="P39" s="75"/>
      <c r="Q39" s="24"/>
      <c r="R39" s="24"/>
      <c r="S39" s="49"/>
    </row>
    <row r="40" spans="1:20" x14ac:dyDescent="0.25">
      <c r="M40" s="75"/>
      <c r="N40" s="75"/>
      <c r="O40" s="75"/>
      <c r="P40" s="75"/>
      <c r="Q40" s="24"/>
      <c r="R40" s="24"/>
      <c r="S40" s="49"/>
    </row>
    <row r="41" spans="1:20" x14ac:dyDescent="0.25">
      <c r="K41" s="86">
        <v>2025</v>
      </c>
      <c r="L41" s="84">
        <v>3</v>
      </c>
      <c r="M41" s="81"/>
      <c r="N41" s="78"/>
      <c r="O41" s="78"/>
      <c r="P41" s="75"/>
      <c r="S41" s="17"/>
    </row>
    <row r="42" spans="1:20" x14ac:dyDescent="0.25">
      <c r="K42" s="87">
        <v>2030</v>
      </c>
      <c r="L42" s="84">
        <v>3</v>
      </c>
      <c r="M42" s="79"/>
      <c r="N42" s="79"/>
      <c r="O42" s="79"/>
      <c r="P42" s="75"/>
    </row>
    <row r="43" spans="1:20" x14ac:dyDescent="0.25">
      <c r="K43" s="82"/>
      <c r="L43" s="79"/>
      <c r="M43" s="79"/>
      <c r="N43" s="79"/>
      <c r="O43" s="79"/>
      <c r="P43" s="75"/>
    </row>
    <row r="44" spans="1:20" x14ac:dyDescent="0.25">
      <c r="K44" s="82"/>
      <c r="L44" s="79"/>
      <c r="M44" s="79"/>
      <c r="N44" s="79"/>
      <c r="O44" s="79"/>
      <c r="P44" s="75"/>
    </row>
    <row r="45" spans="1:20" x14ac:dyDescent="0.25">
      <c r="K45" s="82"/>
      <c r="L45" s="79"/>
      <c r="M45" s="79"/>
      <c r="N45" s="79"/>
      <c r="O45" s="79"/>
      <c r="P45" s="75"/>
    </row>
    <row r="46" spans="1:20" x14ac:dyDescent="0.25">
      <c r="K46" s="82"/>
      <c r="L46" s="79"/>
      <c r="M46" s="79"/>
      <c r="N46" s="79"/>
      <c r="O46" s="79"/>
      <c r="P46" s="75"/>
    </row>
    <row r="47" spans="1:20" x14ac:dyDescent="0.25">
      <c r="K47" s="82"/>
      <c r="L47" s="79"/>
      <c r="M47" s="79"/>
      <c r="N47" s="79"/>
      <c r="O47" s="79"/>
      <c r="P47" s="75"/>
    </row>
    <row r="48" spans="1:20" x14ac:dyDescent="0.25">
      <c r="K48" s="82"/>
      <c r="L48" s="79"/>
      <c r="M48" s="79"/>
      <c r="N48" s="79"/>
      <c r="O48" s="79"/>
      <c r="P48" s="75"/>
    </row>
    <row r="49" spans="11:16" x14ac:dyDescent="0.25">
      <c r="K49" s="82"/>
      <c r="L49" s="79"/>
      <c r="M49" s="79"/>
      <c r="N49" s="79"/>
      <c r="O49" s="79"/>
      <c r="P49" s="75"/>
    </row>
    <row r="50" spans="11:16" x14ac:dyDescent="0.25">
      <c r="K50" s="82"/>
      <c r="L50" s="79"/>
      <c r="M50" s="79"/>
      <c r="N50" s="79"/>
      <c r="O50" s="79"/>
      <c r="P50" s="75"/>
    </row>
    <row r="51" spans="11:16" x14ac:dyDescent="0.25">
      <c r="K51" s="82"/>
      <c r="L51" s="79"/>
      <c r="M51" s="79"/>
      <c r="N51" s="79"/>
      <c r="O51" s="79"/>
      <c r="P51" s="75"/>
    </row>
    <row r="52" spans="11:16" x14ac:dyDescent="0.25">
      <c r="K52" s="82"/>
      <c r="L52" s="79"/>
      <c r="M52" s="79"/>
      <c r="N52" s="79"/>
      <c r="O52" s="79"/>
      <c r="P52" s="75"/>
    </row>
    <row r="53" spans="11:16" x14ac:dyDescent="0.25">
      <c r="K53" s="82"/>
      <c r="L53" s="79"/>
      <c r="M53" s="79"/>
      <c r="N53" s="79"/>
      <c r="O53" s="79"/>
      <c r="P53" s="75"/>
    </row>
    <row r="54" spans="11:16" x14ac:dyDescent="0.25">
      <c r="K54" s="82"/>
      <c r="L54" s="79"/>
      <c r="M54" s="79"/>
      <c r="N54" s="79"/>
      <c r="O54" s="79"/>
      <c r="P54" s="75"/>
    </row>
    <row r="55" spans="11:16" x14ac:dyDescent="0.25">
      <c r="K55" s="82"/>
      <c r="L55" s="79"/>
      <c r="M55" s="79"/>
      <c r="N55" s="79"/>
      <c r="O55" s="79"/>
      <c r="P55" s="75"/>
    </row>
    <row r="56" spans="11:16" x14ac:dyDescent="0.25">
      <c r="K56" s="82"/>
      <c r="L56" s="79"/>
      <c r="M56" s="79"/>
      <c r="N56" s="79"/>
      <c r="O56" s="79"/>
      <c r="P56" s="75"/>
    </row>
    <row r="57" spans="11:16" x14ac:dyDescent="0.25">
      <c r="K57" s="82"/>
      <c r="L57" s="79"/>
      <c r="M57" s="79"/>
      <c r="N57" s="79"/>
      <c r="O57" s="79"/>
      <c r="P57" s="75"/>
    </row>
    <row r="58" spans="11:16" x14ac:dyDescent="0.25">
      <c r="K58" s="82"/>
      <c r="L58" s="79"/>
      <c r="M58" s="79"/>
      <c r="N58" s="79"/>
      <c r="O58" s="79"/>
      <c r="P58" s="75"/>
    </row>
    <row r="59" spans="11:16" x14ac:dyDescent="0.25">
      <c r="K59" s="82"/>
      <c r="L59" s="79"/>
      <c r="M59" s="79"/>
      <c r="N59" s="79"/>
      <c r="O59" s="79"/>
      <c r="P59" s="75"/>
    </row>
    <row r="60" spans="11:16" x14ac:dyDescent="0.25">
      <c r="K60" s="82"/>
      <c r="L60" s="79"/>
      <c r="M60" s="79"/>
      <c r="N60" s="79"/>
      <c r="O60" s="79"/>
      <c r="P60" s="75"/>
    </row>
    <row r="61" spans="11:16" x14ac:dyDescent="0.25">
      <c r="K61" s="82"/>
      <c r="L61" s="79"/>
      <c r="M61" s="79"/>
      <c r="N61" s="79"/>
      <c r="O61" s="79"/>
      <c r="P61" s="75"/>
    </row>
    <row r="62" spans="11:16" x14ac:dyDescent="0.25">
      <c r="K62" s="82"/>
      <c r="L62" s="79"/>
      <c r="M62" s="79"/>
      <c r="N62" s="79"/>
      <c r="O62" s="79"/>
      <c r="P62" s="75"/>
    </row>
    <row r="63" spans="11:16" x14ac:dyDescent="0.25">
      <c r="K63" s="82"/>
      <c r="L63" s="79"/>
      <c r="M63" s="79"/>
      <c r="N63" s="79"/>
      <c r="O63" s="79"/>
      <c r="P63" s="75"/>
    </row>
    <row r="64" spans="11:16" x14ac:dyDescent="0.25">
      <c r="K64" s="82"/>
      <c r="L64" s="79"/>
      <c r="M64" s="79"/>
      <c r="N64" s="79"/>
      <c r="O64" s="79"/>
      <c r="P64" s="75"/>
    </row>
    <row r="65" spans="11:16" x14ac:dyDescent="0.25">
      <c r="K65" s="75"/>
      <c r="L65" s="75"/>
      <c r="M65" s="75"/>
      <c r="N65" s="75"/>
      <c r="O65" s="75"/>
      <c r="P65" s="75"/>
    </row>
    <row r="66" spans="11:16" x14ac:dyDescent="0.25">
      <c r="K66" s="75"/>
      <c r="L66" s="75"/>
      <c r="M66" s="75"/>
      <c r="N66" s="75"/>
      <c r="O66" s="75"/>
    </row>
  </sheetData>
  <mergeCells count="5">
    <mergeCell ref="A29:A30"/>
    <mergeCell ref="B29:E29"/>
    <mergeCell ref="Q29:T29"/>
    <mergeCell ref="F29:I29"/>
    <mergeCell ref="J29:M29"/>
  </mergeCells>
  <pageMargins left="0.7" right="0.7" top="0.75" bottom="0.75" header="0.3" footer="0.3"/>
  <pageSetup paperSize="9" scale="4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workbookViewId="0">
      <selection activeCell="B22" sqref="B22"/>
    </sheetView>
  </sheetViews>
  <sheetFormatPr defaultRowHeight="15" x14ac:dyDescent="0.25"/>
  <cols>
    <col min="1" max="1" width="28.140625" customWidth="1"/>
    <col min="2" max="2" width="26.5703125" customWidth="1"/>
  </cols>
  <sheetData>
    <row r="1" spans="1:2" ht="21" x14ac:dyDescent="0.35">
      <c r="A1" s="54" t="s">
        <v>26</v>
      </c>
    </row>
    <row r="3" spans="1:2" x14ac:dyDescent="0.25">
      <c r="A3" s="55" t="s">
        <v>27</v>
      </c>
      <c r="B3" s="56" t="s">
        <v>28</v>
      </c>
    </row>
    <row r="4" spans="1:2" x14ac:dyDescent="0.25">
      <c r="A4" s="55" t="s">
        <v>6</v>
      </c>
      <c r="B4" s="56" t="s">
        <v>29</v>
      </c>
    </row>
    <row r="5" spans="1:2" ht="33" customHeight="1" x14ac:dyDescent="0.25">
      <c r="A5" s="57" t="s">
        <v>16</v>
      </c>
      <c r="B5" s="56" t="s">
        <v>30</v>
      </c>
    </row>
    <row r="6" spans="1:2" ht="45" x14ac:dyDescent="0.25">
      <c r="A6" s="58" t="s">
        <v>31</v>
      </c>
      <c r="B6" s="56" t="s">
        <v>32</v>
      </c>
    </row>
    <row r="7" spans="1:2" x14ac:dyDescent="0.25">
      <c r="B7" s="59"/>
    </row>
    <row r="8" spans="1:2" x14ac:dyDescent="0.25">
      <c r="A8" s="60" t="s">
        <v>33</v>
      </c>
      <c r="B8" s="56" t="s">
        <v>34</v>
      </c>
    </row>
    <row r="25" spans="4:10" x14ac:dyDescent="0.25">
      <c r="D25" s="22"/>
      <c r="E25" s="22"/>
      <c r="F25" s="22"/>
      <c r="G25" s="22"/>
      <c r="H25" s="22"/>
      <c r="I25" s="22"/>
      <c r="J25" s="22"/>
    </row>
    <row r="26" spans="4:10" x14ac:dyDescent="0.25">
      <c r="D26" s="22"/>
      <c r="E26" s="22"/>
      <c r="F26" s="22"/>
      <c r="G26" s="22"/>
      <c r="H26" s="22"/>
      <c r="I26" s="22"/>
      <c r="J26" s="22"/>
    </row>
    <row r="27" spans="4:10" x14ac:dyDescent="0.25">
      <c r="D27" s="22"/>
      <c r="E27" s="22"/>
      <c r="F27" s="22"/>
      <c r="G27" s="22"/>
      <c r="H27" s="22"/>
      <c r="I27" s="22"/>
      <c r="J27" s="22"/>
    </row>
    <row r="28" spans="4:10" x14ac:dyDescent="0.25">
      <c r="D28" s="22"/>
      <c r="E28" s="22"/>
      <c r="F28" s="22"/>
      <c r="G28" s="22"/>
      <c r="H28" s="22"/>
      <c r="I28" s="22"/>
      <c r="J28" s="22"/>
    </row>
    <row r="29" spans="4:10" x14ac:dyDescent="0.25">
      <c r="D29" s="22"/>
      <c r="E29" s="22"/>
      <c r="F29" s="22"/>
      <c r="G29" s="22"/>
      <c r="H29" s="22"/>
      <c r="I29" s="22"/>
      <c r="J29" s="22"/>
    </row>
    <row r="30" spans="4:10" x14ac:dyDescent="0.25">
      <c r="D30" s="22"/>
      <c r="E30" s="22"/>
      <c r="F30" s="22"/>
      <c r="G30" s="22"/>
      <c r="H30" s="22"/>
      <c r="I30" s="22"/>
      <c r="J30" s="22"/>
    </row>
    <row r="31" spans="4:10" x14ac:dyDescent="0.25">
      <c r="D31" s="22"/>
      <c r="E31" s="22"/>
      <c r="F31" s="22"/>
      <c r="G31" s="22"/>
      <c r="H31" s="22"/>
      <c r="I31" s="22"/>
      <c r="J31" s="22"/>
    </row>
  </sheetData>
  <hyperlinks>
    <hyperlink ref="B3" r:id="rId1" xr:uid="{00000000-0004-0000-0300-000000000000}"/>
    <hyperlink ref="B4" r:id="rId2" xr:uid="{00000000-0004-0000-0300-000001000000}"/>
    <hyperlink ref="B5" r:id="rId3" xr:uid="{00000000-0004-0000-0300-000002000000}"/>
    <hyperlink ref="B6" r:id="rId4" xr:uid="{00000000-0004-0000-0300-000003000000}"/>
    <hyperlink ref="B8" r:id="rId5" xr:uid="{00000000-0004-0000-03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Stunting</vt:lpstr>
      <vt:lpstr>Overweight</vt:lpstr>
      <vt:lpstr>Wasting</vt:lpstr>
      <vt:lpstr>Glossary and technical notes</vt:lpstr>
      <vt:lpstr>Overweight!stunting</vt:lpstr>
      <vt:lpstr>Wasting!stunting</vt:lpstr>
      <vt:lpstr>stunting</vt:lpstr>
      <vt:lpstr>Overweight!year1</vt:lpstr>
      <vt:lpstr>Wasting!year1</vt:lpstr>
      <vt:lpstr>year1</vt:lpstr>
    </vt:vector>
  </TitlesOfParts>
  <Company>World Health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 Elaine</dc:creator>
  <cp:lastModifiedBy>DOMINGUEZ, Elisa</cp:lastModifiedBy>
  <cp:lastPrinted>2014-02-12T12:31:03Z</cp:lastPrinted>
  <dcterms:created xsi:type="dcterms:W3CDTF">2014-01-17T14:13:11Z</dcterms:created>
  <dcterms:modified xsi:type="dcterms:W3CDTF">2019-03-04T09:42:33Z</dcterms:modified>
</cp:coreProperties>
</file>