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ideobra/Dropbox/05 WHO country dengue burden/Report_submission/Burden_calculator_2017/Version 4 submission/Version 5 submission/Bug_edits/"/>
    </mc:Choice>
  </mc:AlternateContent>
  <xr:revisionPtr revIDLastSave="0" documentId="13_ncr:1_{CFC6BB7E-3ED0-C942-8573-E71FC0DA3526}" xr6:coauthVersionLast="32" xr6:coauthVersionMax="32" xr10:uidLastSave="{00000000-0000-0000-0000-000000000000}"/>
  <bookViews>
    <workbookView xWindow="0" yWindow="460" windowWidth="28800" windowHeight="15940" tabRatio="869" xr2:uid="{00000000-000D-0000-FFFF-FFFF00000000}"/>
  </bookViews>
  <sheets>
    <sheet name="1.1. Routine surveillance data" sheetId="1" r:id="rId1"/>
    <sheet name="1.2. Completeness analysis" sheetId="2" r:id="rId2"/>
    <sheet name="1.3. Over-diagnosis analysis" sheetId="3" r:id="rId3"/>
    <sheet name="1.4. Under-diagnosis analysis" sheetId="4" r:id="rId4"/>
    <sheet name="1.5. Febrile cohorts" sheetId="5" r:id="rId5"/>
    <sheet name="1.6. Seroprevalence surveys" sheetId="6" r:id="rId6"/>
    <sheet name="FINAL BURDEN ESTIMATION" sheetId="7" r:id="rId7"/>
    <sheet name="Modelled burden estimates" sheetId="8" state="hidden" r:id="rId8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5" l="1"/>
  <c r="B11" i="5"/>
  <c r="B23" i="7"/>
  <c r="D52" i="6"/>
  <c r="E52" i="6" s="1"/>
  <c r="D53" i="6"/>
  <c r="E53" i="6"/>
  <c r="D54" i="6"/>
  <c r="E54" i="6" s="1"/>
  <c r="D55" i="6"/>
  <c r="E55" i="6"/>
  <c r="D56" i="6"/>
  <c r="E56" i="6" s="1"/>
  <c r="D57" i="6"/>
  <c r="G57" i="6" s="1"/>
  <c r="E57" i="6"/>
  <c r="D58" i="6"/>
  <c r="E58" i="6"/>
  <c r="D59" i="6"/>
  <c r="F59" i="6" s="1"/>
  <c r="E59" i="6"/>
  <c r="D60" i="6"/>
  <c r="E60" i="6"/>
  <c r="D61" i="6"/>
  <c r="G61" i="6" s="1"/>
  <c r="E61" i="6"/>
  <c r="D62" i="6"/>
  <c r="E62" i="6"/>
  <c r="D63" i="6"/>
  <c r="F63" i="6" s="1"/>
  <c r="D64" i="6"/>
  <c r="E64" i="6"/>
  <c r="D65" i="6"/>
  <c r="H65" i="6" s="1"/>
  <c r="E65" i="6"/>
  <c r="D66" i="6"/>
  <c r="E66" i="6"/>
  <c r="D67" i="6"/>
  <c r="E67" i="6"/>
  <c r="D68" i="6"/>
  <c r="E68" i="6" s="1"/>
  <c r="D69" i="6"/>
  <c r="E69" i="6"/>
  <c r="D70" i="6"/>
  <c r="E70" i="6" s="1"/>
  <c r="D71" i="6"/>
  <c r="E71" i="6"/>
  <c r="D72" i="6"/>
  <c r="E72" i="6"/>
  <c r="D73" i="6"/>
  <c r="E73" i="6" s="1"/>
  <c r="D74" i="6"/>
  <c r="E74" i="6"/>
  <c r="D75" i="6"/>
  <c r="E75" i="6" s="1"/>
  <c r="D76" i="6"/>
  <c r="E76" i="6"/>
  <c r="D77" i="6"/>
  <c r="E77" i="6"/>
  <c r="D78" i="6"/>
  <c r="E78" i="6" s="1"/>
  <c r="D79" i="6"/>
  <c r="F79" i="6" s="1"/>
  <c r="E79" i="6"/>
  <c r="D80" i="6"/>
  <c r="E80" i="6" s="1"/>
  <c r="D81" i="6"/>
  <c r="E81" i="6"/>
  <c r="D82" i="6"/>
  <c r="G82" i="6" s="1"/>
  <c r="E82" i="6"/>
  <c r="D83" i="6"/>
  <c r="E83" i="6" s="1"/>
  <c r="D84" i="6"/>
  <c r="H84" i="6" s="1"/>
  <c r="E84" i="6"/>
  <c r="D85" i="6"/>
  <c r="E85" i="6" s="1"/>
  <c r="D86" i="6"/>
  <c r="G86" i="6" s="1"/>
  <c r="E86" i="6"/>
  <c r="D87" i="6"/>
  <c r="E87" i="6"/>
  <c r="D88" i="6"/>
  <c r="E88" i="6" s="1"/>
  <c r="D89" i="6"/>
  <c r="E89" i="6"/>
  <c r="D90" i="6"/>
  <c r="E90" i="6" s="1"/>
  <c r="D91" i="6"/>
  <c r="E91" i="6"/>
  <c r="D92" i="6"/>
  <c r="E92" i="6"/>
  <c r="D93" i="6"/>
  <c r="E93" i="6" s="1"/>
  <c r="D94" i="6"/>
  <c r="E94" i="6"/>
  <c r="D95" i="6"/>
  <c r="E95" i="6" s="1"/>
  <c r="D96" i="6"/>
  <c r="E96" i="6"/>
  <c r="D97" i="6"/>
  <c r="F97" i="6" s="1"/>
  <c r="E97" i="6"/>
  <c r="D98" i="6"/>
  <c r="E98" i="6" s="1"/>
  <c r="D99" i="6"/>
  <c r="I99" i="6" s="1"/>
  <c r="E99" i="6"/>
  <c r="D100" i="6"/>
  <c r="E100" i="6" s="1"/>
  <c r="D101" i="6"/>
  <c r="F101" i="6" s="1"/>
  <c r="E101" i="6"/>
  <c r="D102" i="6"/>
  <c r="E102" i="6"/>
  <c r="D103" i="6"/>
  <c r="E103" i="6" s="1"/>
  <c r="D104" i="6"/>
  <c r="E104" i="6"/>
  <c r="D105" i="6"/>
  <c r="E105" i="6" s="1"/>
  <c r="D106" i="6"/>
  <c r="E106" i="6"/>
  <c r="D107" i="6"/>
  <c r="E107" i="6"/>
  <c r="D108" i="6"/>
  <c r="E108" i="6" s="1"/>
  <c r="D109" i="6"/>
  <c r="E109" i="6"/>
  <c r="D110" i="6"/>
  <c r="E110" i="6" s="1"/>
  <c r="D111" i="6"/>
  <c r="E111" i="6"/>
  <c r="D112" i="6"/>
  <c r="F112" i="6" s="1"/>
  <c r="E112" i="6"/>
  <c r="D113" i="6"/>
  <c r="E113" i="6" s="1"/>
  <c r="D114" i="6"/>
  <c r="I114" i="6" s="1"/>
  <c r="E114" i="6"/>
  <c r="D115" i="6"/>
  <c r="E115" i="6" s="1"/>
  <c r="D116" i="6"/>
  <c r="F116" i="6" s="1"/>
  <c r="E116" i="6"/>
  <c r="D117" i="6"/>
  <c r="F117" i="6" s="1"/>
  <c r="D118" i="6"/>
  <c r="E118" i="6" s="1"/>
  <c r="D119" i="6"/>
  <c r="E119" i="6" s="1"/>
  <c r="D120" i="6"/>
  <c r="E120" i="6" s="1"/>
  <c r="D121" i="6"/>
  <c r="F121" i="6" s="1"/>
  <c r="D122" i="6"/>
  <c r="F122" i="6" s="1"/>
  <c r="E122" i="6"/>
  <c r="D123" i="6"/>
  <c r="E123" i="6" s="1"/>
  <c r="D124" i="6"/>
  <c r="G124" i="6" s="1"/>
  <c r="E124" i="6"/>
  <c r="D125" i="6"/>
  <c r="E125" i="6" s="1"/>
  <c r="D126" i="6"/>
  <c r="F126" i="6" s="1"/>
  <c r="E126" i="6"/>
  <c r="D127" i="6"/>
  <c r="I127" i="6" s="1"/>
  <c r="E127" i="6"/>
  <c r="D128" i="6"/>
  <c r="E128" i="6"/>
  <c r="D129" i="6"/>
  <c r="G129" i="6" s="1"/>
  <c r="E129" i="6"/>
  <c r="D130" i="6"/>
  <c r="E130" i="6"/>
  <c r="D131" i="6"/>
  <c r="F131" i="6" s="1"/>
  <c r="E131" i="6"/>
  <c r="D132" i="6"/>
  <c r="E132" i="6"/>
  <c r="D133" i="6"/>
  <c r="E133" i="6"/>
  <c r="D134" i="6"/>
  <c r="E134" i="6"/>
  <c r="D135" i="6"/>
  <c r="E135" i="6"/>
  <c r="D136" i="6"/>
  <c r="E136" i="6"/>
  <c r="D137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B33" i="6"/>
  <c r="J23" i="7"/>
  <c r="J27" i="7" s="1"/>
  <c r="I23" i="7"/>
  <c r="I27" i="7" s="1"/>
  <c r="I24" i="7"/>
  <c r="H23" i="7"/>
  <c r="G23" i="7"/>
  <c r="D53" i="7" s="1"/>
  <c r="G24" i="7"/>
  <c r="F23" i="7"/>
  <c r="F24" i="7"/>
  <c r="C53" i="7"/>
  <c r="B53" i="7" s="1"/>
  <c r="E23" i="7"/>
  <c r="E24" i="7"/>
  <c r="D94" i="7"/>
  <c r="E5" i="3"/>
  <c r="E6" i="3"/>
  <c r="F6" i="3" s="1"/>
  <c r="B94" i="7"/>
  <c r="D10" i="2"/>
  <c r="E10" i="2"/>
  <c r="G67" i="7" s="1"/>
  <c r="F10" i="2"/>
  <c r="G10" i="2"/>
  <c r="H10" i="2"/>
  <c r="E7" i="4"/>
  <c r="H7" i="4"/>
  <c r="H6" i="4" s="1"/>
  <c r="O74" i="7" s="1"/>
  <c r="K7" i="4"/>
  <c r="K6" i="4" s="1"/>
  <c r="P74" i="7" s="1"/>
  <c r="E94" i="7"/>
  <c r="F94" i="7"/>
  <c r="G94" i="7"/>
  <c r="I94" i="7"/>
  <c r="D11" i="2"/>
  <c r="E11" i="2"/>
  <c r="F11" i="2"/>
  <c r="G11" i="2"/>
  <c r="H11" i="2"/>
  <c r="B80" i="7"/>
  <c r="AA60" i="7" s="1"/>
  <c r="B12" i="5"/>
  <c r="B83" i="7"/>
  <c r="AA62" i="7" s="1"/>
  <c r="C80" i="7"/>
  <c r="C12" i="5"/>
  <c r="C83" i="7"/>
  <c r="F95" i="7"/>
  <c r="I95" i="7" s="1"/>
  <c r="F96" i="7"/>
  <c r="I96" i="7"/>
  <c r="F97" i="7"/>
  <c r="I97" i="7"/>
  <c r="F98" i="7"/>
  <c r="I98" i="7" s="1"/>
  <c r="F99" i="7"/>
  <c r="I99" i="7"/>
  <c r="F100" i="7"/>
  <c r="I100" i="7" s="1"/>
  <c r="F101" i="7"/>
  <c r="I101" i="7"/>
  <c r="F102" i="7"/>
  <c r="I102" i="7"/>
  <c r="F103" i="7"/>
  <c r="I103" i="7" s="1"/>
  <c r="F104" i="7"/>
  <c r="I104" i="7"/>
  <c r="D23" i="7"/>
  <c r="D52" i="7" s="1"/>
  <c r="C23" i="7"/>
  <c r="C52" i="7"/>
  <c r="B52" i="7"/>
  <c r="F53" i="6"/>
  <c r="F54" i="6"/>
  <c r="F55" i="6"/>
  <c r="F57" i="6"/>
  <c r="F58" i="6"/>
  <c r="F60" i="6"/>
  <c r="F61" i="6"/>
  <c r="F62" i="6"/>
  <c r="F64" i="6"/>
  <c r="F65" i="6"/>
  <c r="F66" i="6"/>
  <c r="F67" i="6"/>
  <c r="F68" i="6"/>
  <c r="F69" i="6"/>
  <c r="F71" i="6"/>
  <c r="F72" i="6"/>
  <c r="F74" i="6"/>
  <c r="F75" i="6"/>
  <c r="F76" i="6"/>
  <c r="F77" i="6"/>
  <c r="F78" i="6"/>
  <c r="F81" i="6"/>
  <c r="F82" i="6"/>
  <c r="F84" i="6"/>
  <c r="F86" i="6"/>
  <c r="F87" i="6"/>
  <c r="F89" i="6"/>
  <c r="F90" i="6"/>
  <c r="F91" i="6"/>
  <c r="F92" i="6"/>
  <c r="F93" i="6"/>
  <c r="F94" i="6"/>
  <c r="F96" i="6"/>
  <c r="F99" i="6"/>
  <c r="F100" i="6"/>
  <c r="F102" i="6"/>
  <c r="F104" i="6"/>
  <c r="F105" i="6"/>
  <c r="F106" i="6"/>
  <c r="F107" i="6"/>
  <c r="F108" i="6"/>
  <c r="F109" i="6"/>
  <c r="F111" i="6"/>
  <c r="F114" i="6"/>
  <c r="F115" i="6"/>
  <c r="F120" i="6"/>
  <c r="F123" i="6"/>
  <c r="F124" i="6"/>
  <c r="F125" i="6"/>
  <c r="F128" i="6"/>
  <c r="F129" i="6"/>
  <c r="F130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G53" i="6"/>
  <c r="G55" i="6"/>
  <c r="G58" i="6"/>
  <c r="G59" i="6"/>
  <c r="G60" i="6"/>
  <c r="G62" i="6"/>
  <c r="G64" i="6"/>
  <c r="G65" i="6"/>
  <c r="G66" i="6"/>
  <c r="G67" i="6"/>
  <c r="G69" i="6"/>
  <c r="G71" i="6"/>
  <c r="G72" i="6"/>
  <c r="G74" i="6"/>
  <c r="G76" i="6"/>
  <c r="G77" i="6"/>
  <c r="G79" i="6"/>
  <c r="G81" i="6"/>
  <c r="G84" i="6"/>
  <c r="G85" i="6"/>
  <c r="G87" i="6"/>
  <c r="G88" i="6"/>
  <c r="G89" i="6"/>
  <c r="G91" i="6"/>
  <c r="G92" i="6"/>
  <c r="G94" i="6"/>
  <c r="G96" i="6"/>
  <c r="G97" i="6"/>
  <c r="G99" i="6"/>
  <c r="G100" i="6"/>
  <c r="G101" i="6"/>
  <c r="G102" i="6"/>
  <c r="G103" i="6"/>
  <c r="G104" i="6"/>
  <c r="G106" i="6"/>
  <c r="G107" i="6"/>
  <c r="G109" i="6"/>
  <c r="G111" i="6"/>
  <c r="G112" i="6"/>
  <c r="G114" i="6"/>
  <c r="G116" i="6"/>
  <c r="G117" i="6"/>
  <c r="G119" i="6"/>
  <c r="G121" i="6"/>
  <c r="G122" i="6"/>
  <c r="G123" i="6"/>
  <c r="G125" i="6"/>
  <c r="G126" i="6"/>
  <c r="G127" i="6"/>
  <c r="G128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H52" i="6"/>
  <c r="H53" i="6"/>
  <c r="H55" i="6"/>
  <c r="H56" i="6"/>
  <c r="H58" i="6"/>
  <c r="H59" i="6"/>
  <c r="H60" i="6"/>
  <c r="H62" i="6"/>
  <c r="H64" i="6"/>
  <c r="H66" i="6"/>
  <c r="H67" i="6"/>
  <c r="H69" i="6"/>
  <c r="H71" i="6"/>
  <c r="H72" i="6"/>
  <c r="H74" i="6"/>
  <c r="H76" i="6"/>
  <c r="H77" i="6"/>
  <c r="H79" i="6"/>
  <c r="H81" i="6"/>
  <c r="H82" i="6"/>
  <c r="H83" i="6"/>
  <c r="H86" i="6"/>
  <c r="H87" i="6"/>
  <c r="H88" i="6"/>
  <c r="H89" i="6"/>
  <c r="H91" i="6"/>
  <c r="H92" i="6"/>
  <c r="H93" i="6"/>
  <c r="H94" i="6"/>
  <c r="H96" i="6"/>
  <c r="H97" i="6"/>
  <c r="H98" i="6"/>
  <c r="H99" i="6"/>
  <c r="H101" i="6"/>
  <c r="H102" i="6"/>
  <c r="H104" i="6"/>
  <c r="H106" i="6"/>
  <c r="H107" i="6"/>
  <c r="H108" i="6"/>
  <c r="H109" i="6"/>
  <c r="H111" i="6"/>
  <c r="H112" i="6"/>
  <c r="H114" i="6"/>
  <c r="H116" i="6"/>
  <c r="H117" i="6"/>
  <c r="H119" i="6"/>
  <c r="H121" i="6"/>
  <c r="H122" i="6"/>
  <c r="H123" i="6"/>
  <c r="H124" i="6"/>
  <c r="H125" i="6"/>
  <c r="H126" i="6"/>
  <c r="H128" i="6"/>
  <c r="H129" i="6"/>
  <c r="H130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I53" i="6"/>
  <c r="I55" i="6"/>
  <c r="I57" i="6"/>
  <c r="I58" i="6"/>
  <c r="I60" i="6"/>
  <c r="I61" i="6"/>
  <c r="I62" i="6"/>
  <c r="I64" i="6"/>
  <c r="I66" i="6"/>
  <c r="I67" i="6"/>
  <c r="I69" i="6"/>
  <c r="I70" i="6"/>
  <c r="I71" i="6"/>
  <c r="I72" i="6"/>
  <c r="I74" i="6"/>
  <c r="I76" i="6"/>
  <c r="I77" i="6"/>
  <c r="I79" i="6"/>
  <c r="I81" i="6"/>
  <c r="I84" i="6"/>
  <c r="I85" i="6"/>
  <c r="I87" i="6"/>
  <c r="I88" i="6"/>
  <c r="I89" i="6"/>
  <c r="I91" i="6"/>
  <c r="I92" i="6"/>
  <c r="I94" i="6"/>
  <c r="I95" i="6"/>
  <c r="I96" i="6"/>
  <c r="I97" i="6"/>
  <c r="I98" i="6"/>
  <c r="I101" i="6"/>
  <c r="I102" i="6"/>
  <c r="I103" i="6"/>
  <c r="I104" i="6"/>
  <c r="I106" i="6"/>
  <c r="I107" i="6"/>
  <c r="I109" i="6"/>
  <c r="I110" i="6"/>
  <c r="I111" i="6"/>
  <c r="I112" i="6"/>
  <c r="I116" i="6"/>
  <c r="I117" i="6"/>
  <c r="I119" i="6"/>
  <c r="I121" i="6"/>
  <c r="I122" i="6"/>
  <c r="I123" i="6"/>
  <c r="I124" i="6"/>
  <c r="I125" i="6"/>
  <c r="I126" i="6"/>
  <c r="I128" i="6"/>
  <c r="I129" i="6"/>
  <c r="I130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B16" i="5"/>
  <c r="B86" i="7"/>
  <c r="AD64" i="7" s="1"/>
  <c r="C16" i="5"/>
  <c r="C86" i="7" s="1"/>
  <c r="B102" i="7"/>
  <c r="E102" i="7"/>
  <c r="D102" i="7"/>
  <c r="D95" i="7"/>
  <c r="B95" i="7"/>
  <c r="D96" i="7"/>
  <c r="B96" i="7"/>
  <c r="D97" i="7"/>
  <c r="B97" i="7"/>
  <c r="D98" i="7"/>
  <c r="B98" i="7"/>
  <c r="D99" i="7"/>
  <c r="B99" i="7"/>
  <c r="G99" i="7" s="1"/>
  <c r="C99" i="7"/>
  <c r="D100" i="7"/>
  <c r="B100" i="7"/>
  <c r="C100" i="7"/>
  <c r="D101" i="7"/>
  <c r="B101" i="7"/>
  <c r="D103" i="7"/>
  <c r="B103" i="7"/>
  <c r="D104" i="7"/>
  <c r="B104" i="7"/>
  <c r="E95" i="7"/>
  <c r="E96" i="7"/>
  <c r="E97" i="7"/>
  <c r="E98" i="7"/>
  <c r="E99" i="7"/>
  <c r="E100" i="7"/>
  <c r="E101" i="7"/>
  <c r="E103" i="7"/>
  <c r="E104" i="7"/>
  <c r="AG60" i="7"/>
  <c r="AE60" i="7"/>
  <c r="N69" i="7"/>
  <c r="O69" i="7"/>
  <c r="P69" i="7"/>
  <c r="Q69" i="7"/>
  <c r="R69" i="7"/>
  <c r="P70" i="7"/>
  <c r="O70" i="7"/>
  <c r="N70" i="7"/>
  <c r="Q70" i="7"/>
  <c r="R70" i="7"/>
  <c r="N72" i="7"/>
  <c r="O72" i="7"/>
  <c r="P72" i="7"/>
  <c r="Q72" i="7"/>
  <c r="S72" i="7" s="1"/>
  <c r="R72" i="7"/>
  <c r="P73" i="7"/>
  <c r="O73" i="7"/>
  <c r="T73" i="7" s="1"/>
  <c r="N73" i="7"/>
  <c r="U73" i="7" s="1"/>
  <c r="S63" i="7" s="1"/>
  <c r="Q73" i="7"/>
  <c r="R73" i="7"/>
  <c r="N71" i="7"/>
  <c r="O71" i="7"/>
  <c r="P71" i="7"/>
  <c r="Q71" i="7"/>
  <c r="R71" i="7"/>
  <c r="C17" i="1"/>
  <c r="D17" i="1"/>
  <c r="F17" i="1"/>
  <c r="C28" i="7"/>
  <c r="D28" i="7"/>
  <c r="B28" i="7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E17" i="1"/>
  <c r="B17" i="1"/>
  <c r="I131" i="6" l="1"/>
  <c r="H127" i="6"/>
  <c r="F127" i="6"/>
  <c r="H131" i="6"/>
  <c r="I120" i="6"/>
  <c r="H118" i="6"/>
  <c r="G118" i="6"/>
  <c r="F119" i="6"/>
  <c r="E121" i="6"/>
  <c r="E117" i="6"/>
  <c r="F118" i="6"/>
  <c r="I118" i="6"/>
  <c r="H120" i="6"/>
  <c r="G120" i="6"/>
  <c r="I113" i="6"/>
  <c r="H113" i="6"/>
  <c r="G115" i="6"/>
  <c r="I115" i="6"/>
  <c r="F113" i="6"/>
  <c r="H115" i="6"/>
  <c r="G113" i="6"/>
  <c r="G110" i="6"/>
  <c r="I108" i="6"/>
  <c r="H110" i="6"/>
  <c r="F110" i="6"/>
  <c r="G108" i="6"/>
  <c r="I105" i="6"/>
  <c r="G105" i="6"/>
  <c r="F103" i="6"/>
  <c r="H105" i="6"/>
  <c r="H103" i="6"/>
  <c r="I100" i="6"/>
  <c r="F98" i="6"/>
  <c r="H100" i="6"/>
  <c r="G98" i="6"/>
  <c r="I93" i="6"/>
  <c r="H95" i="6"/>
  <c r="F95" i="6"/>
  <c r="G95" i="6"/>
  <c r="G93" i="6"/>
  <c r="G90" i="6"/>
  <c r="F88" i="6"/>
  <c r="H90" i="6"/>
  <c r="I90" i="6"/>
  <c r="F85" i="6"/>
  <c r="I83" i="6"/>
  <c r="H85" i="6"/>
  <c r="G83" i="6"/>
  <c r="I86" i="6"/>
  <c r="I82" i="6"/>
  <c r="F83" i="6"/>
  <c r="G78" i="6"/>
  <c r="I78" i="6"/>
  <c r="H78" i="6"/>
  <c r="F80" i="6"/>
  <c r="I80" i="6"/>
  <c r="H80" i="6"/>
  <c r="G80" i="6"/>
  <c r="F73" i="6"/>
  <c r="I73" i="6"/>
  <c r="H75" i="6"/>
  <c r="G73" i="6"/>
  <c r="I75" i="6"/>
  <c r="H73" i="6"/>
  <c r="G75" i="6"/>
  <c r="H68" i="6"/>
  <c r="G68" i="6"/>
  <c r="I68" i="6"/>
  <c r="F70" i="6"/>
  <c r="H70" i="6"/>
  <c r="G70" i="6"/>
  <c r="E63" i="6"/>
  <c r="H63" i="6"/>
  <c r="I63" i="6"/>
  <c r="I65" i="6"/>
  <c r="G63" i="6"/>
  <c r="C7" i="6"/>
  <c r="C8" i="6" s="1"/>
  <c r="I59" i="6"/>
  <c r="H61" i="6"/>
  <c r="H57" i="6"/>
  <c r="I56" i="6"/>
  <c r="I52" i="6"/>
  <c r="G54" i="6"/>
  <c r="H54" i="6"/>
  <c r="F56" i="6"/>
  <c r="F52" i="6"/>
  <c r="I54" i="6"/>
  <c r="G56" i="6"/>
  <c r="G52" i="6"/>
  <c r="AF62" i="7"/>
  <c r="AG62" i="7"/>
  <c r="AC62" i="7"/>
  <c r="AE62" i="7"/>
  <c r="AD62" i="7"/>
  <c r="Z62" i="7"/>
  <c r="AB62" i="7"/>
  <c r="Y62" i="7"/>
  <c r="AF64" i="7"/>
  <c r="AE64" i="7"/>
  <c r="AB64" i="7"/>
  <c r="AC64" i="7"/>
  <c r="Y64" i="7"/>
  <c r="Z64" i="7"/>
  <c r="AA64" i="7"/>
  <c r="AG64" i="7"/>
  <c r="AF60" i="7"/>
  <c r="AD60" i="7"/>
  <c r="AB60" i="7"/>
  <c r="AC60" i="7"/>
  <c r="Y60" i="7"/>
  <c r="Z60" i="7"/>
  <c r="P75" i="7"/>
  <c r="O75" i="7"/>
  <c r="F75" i="7"/>
  <c r="E75" i="7"/>
  <c r="N75" i="7"/>
  <c r="S75" i="7" s="1"/>
  <c r="G75" i="7"/>
  <c r="M100" i="7" s="1"/>
  <c r="E6" i="4"/>
  <c r="D75" i="7" s="1"/>
  <c r="M96" i="7" s="1"/>
  <c r="C75" i="7"/>
  <c r="T75" i="7"/>
  <c r="C71" i="7"/>
  <c r="F5" i="3"/>
  <c r="B71" i="7" s="1"/>
  <c r="Q63" i="7" s="1"/>
  <c r="S73" i="7"/>
  <c r="T72" i="7"/>
  <c r="U72" i="7"/>
  <c r="Q67" i="7" s="1"/>
  <c r="U70" i="7"/>
  <c r="S62" i="7" s="1"/>
  <c r="S70" i="7"/>
  <c r="T70" i="7"/>
  <c r="T69" i="7"/>
  <c r="S69" i="7"/>
  <c r="U69" i="7"/>
  <c r="Q65" i="7" s="1"/>
  <c r="B67" i="7"/>
  <c r="L95" i="7" s="1"/>
  <c r="C67" i="7"/>
  <c r="K94" i="7" s="1"/>
  <c r="F67" i="7"/>
  <c r="E67" i="7"/>
  <c r="O99" i="7" s="1"/>
  <c r="T71" i="7"/>
  <c r="D67" i="7"/>
  <c r="J102" i="7" s="1"/>
  <c r="U71" i="7"/>
  <c r="S71" i="7"/>
  <c r="G104" i="7"/>
  <c r="G102" i="7"/>
  <c r="G100" i="7"/>
  <c r="V100" i="7" s="1"/>
  <c r="D110" i="7"/>
  <c r="I105" i="7"/>
  <c r="C6" i="7" s="1"/>
  <c r="E105" i="7"/>
  <c r="S61" i="7" s="1"/>
  <c r="D109" i="7"/>
  <c r="G95" i="7"/>
  <c r="V95" i="7" s="1"/>
  <c r="F105" i="7"/>
  <c r="AA59" i="7" s="1"/>
  <c r="D6" i="7"/>
  <c r="C101" i="7"/>
  <c r="D105" i="7"/>
  <c r="Q61" i="7" s="1"/>
  <c r="C97" i="7"/>
  <c r="C96" i="7"/>
  <c r="C94" i="7"/>
  <c r="G96" i="7"/>
  <c r="V94" i="7"/>
  <c r="C109" i="7"/>
  <c r="E109" i="7" s="1"/>
  <c r="C104" i="7"/>
  <c r="M104" i="7" s="1"/>
  <c r="C95" i="7"/>
  <c r="G103" i="7"/>
  <c r="C103" i="7"/>
  <c r="V99" i="7"/>
  <c r="V102" i="7"/>
  <c r="V104" i="7"/>
  <c r="M101" i="7"/>
  <c r="G98" i="7"/>
  <c r="C98" i="7"/>
  <c r="B105" i="7"/>
  <c r="C110" i="7"/>
  <c r="C102" i="7"/>
  <c r="G101" i="7"/>
  <c r="G97" i="7"/>
  <c r="H27" i="7"/>
  <c r="C54" i="7"/>
  <c r="J24" i="7"/>
  <c r="D54" i="7" s="1"/>
  <c r="H24" i="7"/>
  <c r="B54" i="7" l="1"/>
  <c r="D7" i="6"/>
  <c r="D8" i="6" s="1"/>
  <c r="F7" i="6"/>
  <c r="F8" i="6" s="1"/>
  <c r="G7" i="6"/>
  <c r="G8" i="6" s="1"/>
  <c r="E7" i="6"/>
  <c r="E8" i="6" s="1"/>
  <c r="N100" i="7"/>
  <c r="B75" i="7"/>
  <c r="Q62" i="7" s="1"/>
  <c r="M99" i="7"/>
  <c r="U75" i="7"/>
  <c r="N74" i="7"/>
  <c r="S74" i="7" s="1"/>
  <c r="M97" i="7"/>
  <c r="J94" i="7"/>
  <c r="J101" i="7"/>
  <c r="L99" i="7"/>
  <c r="R99" i="7" s="1"/>
  <c r="S99" i="7" s="1"/>
  <c r="W99" i="7" s="1"/>
  <c r="P101" i="7"/>
  <c r="U101" i="7" s="1"/>
  <c r="L103" i="7"/>
  <c r="L97" i="7"/>
  <c r="L100" i="7"/>
  <c r="O97" i="7"/>
  <c r="L96" i="7"/>
  <c r="L94" i="7"/>
  <c r="N99" i="7"/>
  <c r="O96" i="7"/>
  <c r="L101" i="7"/>
  <c r="L104" i="7"/>
  <c r="J99" i="7"/>
  <c r="P99" i="7" s="1"/>
  <c r="U99" i="7" s="1"/>
  <c r="Y99" i="7" s="1"/>
  <c r="O100" i="7"/>
  <c r="L102" i="7"/>
  <c r="L98" i="7"/>
  <c r="K100" i="7"/>
  <c r="Q100" i="7" s="1"/>
  <c r="T100" i="7" s="1"/>
  <c r="K96" i="7"/>
  <c r="K104" i="7"/>
  <c r="K95" i="7"/>
  <c r="J98" i="7"/>
  <c r="K101" i="7"/>
  <c r="N97" i="7"/>
  <c r="N96" i="7"/>
  <c r="N95" i="7"/>
  <c r="N101" i="7"/>
  <c r="K99" i="7"/>
  <c r="J96" i="7"/>
  <c r="P96" i="7" s="1"/>
  <c r="U96" i="7" s="1"/>
  <c r="Y96" i="7" s="1"/>
  <c r="K98" i="7"/>
  <c r="K103" i="7"/>
  <c r="K102" i="7"/>
  <c r="K97" i="7"/>
  <c r="J97" i="7"/>
  <c r="J103" i="7"/>
  <c r="J104" i="7"/>
  <c r="P104" i="7" s="1"/>
  <c r="U104" i="7" s="1"/>
  <c r="Y104" i="7" s="1"/>
  <c r="J100" i="7"/>
  <c r="P100" i="7" s="1"/>
  <c r="U100" i="7" s="1"/>
  <c r="Y100" i="7" s="1"/>
  <c r="O101" i="7"/>
  <c r="J95" i="7"/>
  <c r="Q66" i="7"/>
  <c r="D111" i="7"/>
  <c r="U61" i="7"/>
  <c r="B6" i="7"/>
  <c r="V96" i="7"/>
  <c r="N94" i="7"/>
  <c r="Q94" i="7" s="1"/>
  <c r="T94" i="7" s="1"/>
  <c r="O94" i="7"/>
  <c r="M94" i="7"/>
  <c r="P94" i="7" s="1"/>
  <c r="U94" i="7" s="1"/>
  <c r="Y94" i="7" s="1"/>
  <c r="M95" i="7"/>
  <c r="O95" i="7"/>
  <c r="R95" i="7" s="1"/>
  <c r="S95" i="7" s="1"/>
  <c r="W95" i="7" s="1"/>
  <c r="O104" i="7"/>
  <c r="N104" i="7"/>
  <c r="E110" i="7"/>
  <c r="C111" i="7"/>
  <c r="V97" i="7"/>
  <c r="Z59" i="7"/>
  <c r="AD59" i="7"/>
  <c r="AG59" i="7"/>
  <c r="AC59" i="7"/>
  <c r="AE59" i="7"/>
  <c r="AF59" i="7"/>
  <c r="Y59" i="7"/>
  <c r="M102" i="7"/>
  <c r="P102" i="7" s="1"/>
  <c r="U102" i="7" s="1"/>
  <c r="N102" i="7"/>
  <c r="O102" i="7"/>
  <c r="G105" i="7"/>
  <c r="V101" i="7"/>
  <c r="M98" i="7"/>
  <c r="N98" i="7"/>
  <c r="O98" i="7"/>
  <c r="N103" i="7"/>
  <c r="O103" i="7"/>
  <c r="M103" i="7"/>
  <c r="AB59" i="7"/>
  <c r="C105" i="7"/>
  <c r="Q64" i="7" s="1"/>
  <c r="V98" i="7"/>
  <c r="V103" i="7"/>
  <c r="D90" i="7" l="1"/>
  <c r="AC63" i="7" s="1"/>
  <c r="C90" i="7"/>
  <c r="B90" i="7"/>
  <c r="AB63" i="7" s="1"/>
  <c r="T74" i="7"/>
  <c r="U74" i="7"/>
  <c r="M66" i="7" s="1"/>
  <c r="P98" i="7"/>
  <c r="U98" i="7" s="1"/>
  <c r="Y98" i="7" s="1"/>
  <c r="R96" i="7"/>
  <c r="S96" i="7" s="1"/>
  <c r="W96" i="7" s="1"/>
  <c r="R103" i="7"/>
  <c r="S103" i="7" s="1"/>
  <c r="W103" i="7" s="1"/>
  <c r="Q96" i="7"/>
  <c r="T96" i="7" s="1"/>
  <c r="R97" i="7"/>
  <c r="S97" i="7" s="1"/>
  <c r="W97" i="7" s="1"/>
  <c r="R94" i="7"/>
  <c r="S94" i="7" s="1"/>
  <c r="W94" i="7" s="1"/>
  <c r="AE94" i="7" s="1"/>
  <c r="R102" i="7"/>
  <c r="S102" i="7" s="1"/>
  <c r="W102" i="7" s="1"/>
  <c r="AE102" i="7" s="1"/>
  <c r="R100" i="7"/>
  <c r="S100" i="7" s="1"/>
  <c r="W100" i="7" s="1"/>
  <c r="L105" i="7"/>
  <c r="D7" i="7" s="1"/>
  <c r="Q95" i="7"/>
  <c r="T95" i="7" s="1"/>
  <c r="R104" i="7"/>
  <c r="S104" i="7" s="1"/>
  <c r="W104" i="7" s="1"/>
  <c r="X104" i="7" s="1"/>
  <c r="Q104" i="7"/>
  <c r="T104" i="7" s="1"/>
  <c r="R98" i="7"/>
  <c r="S98" i="7" s="1"/>
  <c r="W98" i="7" s="1"/>
  <c r="R101" i="7"/>
  <c r="S101" i="7" s="1"/>
  <c r="W101" i="7" s="1"/>
  <c r="AE101" i="7" s="1"/>
  <c r="Q102" i="7"/>
  <c r="T102" i="7" s="1"/>
  <c r="P95" i="7"/>
  <c r="U95" i="7" s="1"/>
  <c r="K105" i="7"/>
  <c r="C7" i="7" s="1"/>
  <c r="Q101" i="7"/>
  <c r="T101" i="7" s="1"/>
  <c r="Q99" i="7"/>
  <c r="T99" i="7" s="1"/>
  <c r="Q103" i="7"/>
  <c r="T103" i="7" s="1"/>
  <c r="Q97" i="7"/>
  <c r="T97" i="7" s="1"/>
  <c r="Q98" i="7"/>
  <c r="T98" i="7" s="1"/>
  <c r="J105" i="7"/>
  <c r="B7" i="7" s="1"/>
  <c r="P103" i="7"/>
  <c r="U103" i="7" s="1"/>
  <c r="Y103" i="7" s="1"/>
  <c r="P97" i="7"/>
  <c r="U97" i="7" s="1"/>
  <c r="Y97" i="7" s="1"/>
  <c r="AC94" i="7"/>
  <c r="X96" i="7"/>
  <c r="AC99" i="7"/>
  <c r="AE99" i="7"/>
  <c r="M61" i="7"/>
  <c r="L61" i="7"/>
  <c r="M64" i="7"/>
  <c r="L60" i="7"/>
  <c r="L62" i="7"/>
  <c r="L66" i="7"/>
  <c r="M65" i="7"/>
  <c r="L63" i="7"/>
  <c r="M63" i="7"/>
  <c r="L65" i="7"/>
  <c r="L58" i="7"/>
  <c r="L64" i="7"/>
  <c r="M60" i="7"/>
  <c r="M62" i="7"/>
  <c r="Y101" i="7"/>
  <c r="M105" i="7"/>
  <c r="B8" i="7" s="1"/>
  <c r="V105" i="7"/>
  <c r="O105" i="7"/>
  <c r="D8" i="7" s="1"/>
  <c r="X102" i="7"/>
  <c r="Y102" i="7"/>
  <c r="X99" i="7"/>
  <c r="N105" i="7"/>
  <c r="C8" i="7" s="1"/>
  <c r="X94" i="7"/>
  <c r="AB96" i="7" l="1"/>
  <c r="AB100" i="7"/>
  <c r="AB99" i="7"/>
  <c r="Z63" i="7"/>
  <c r="AE63" i="7"/>
  <c r="AG63" i="7"/>
  <c r="AD63" i="7"/>
  <c r="AF63" i="7"/>
  <c r="Y63" i="7"/>
  <c r="AA63" i="7"/>
  <c r="Z99" i="7"/>
  <c r="AF99" i="7" s="1"/>
  <c r="AE96" i="7"/>
  <c r="Z94" i="7"/>
  <c r="Z96" i="7"/>
  <c r="AF96" i="7" s="1"/>
  <c r="AB94" i="7"/>
  <c r="AH94" i="7" s="1"/>
  <c r="AC96" i="7"/>
  <c r="R105" i="7"/>
  <c r="S105" i="7"/>
  <c r="Z104" i="7"/>
  <c r="AF104" i="7" s="1"/>
  <c r="AB102" i="7"/>
  <c r="AH102" i="7" s="1"/>
  <c r="AC104" i="7"/>
  <c r="AB104" i="7"/>
  <c r="AH104" i="7" s="1"/>
  <c r="AA96" i="7"/>
  <c r="AG96" i="7" s="1"/>
  <c r="D12" i="7"/>
  <c r="Z61" i="7" s="1"/>
  <c r="Z65" i="7" s="1"/>
  <c r="Z66" i="7" s="1"/>
  <c r="Z67" i="7" s="1"/>
  <c r="AE104" i="7"/>
  <c r="X100" i="7"/>
  <c r="AA100" i="7" s="1"/>
  <c r="AC100" i="7"/>
  <c r="AE100" i="7"/>
  <c r="Z100" i="7"/>
  <c r="AF100" i="7" s="1"/>
  <c r="P105" i="7"/>
  <c r="AB95" i="7"/>
  <c r="AH95" i="7" s="1"/>
  <c r="C12" i="7"/>
  <c r="AD61" i="7" s="1"/>
  <c r="AE95" i="7"/>
  <c r="AD96" i="7"/>
  <c r="T105" i="7"/>
  <c r="B12" i="7"/>
  <c r="AA61" i="7" s="1"/>
  <c r="AA65" i="7" s="1"/>
  <c r="AA66" i="7" s="1"/>
  <c r="X103" i="7"/>
  <c r="AA103" i="7" s="1"/>
  <c r="Q105" i="7"/>
  <c r="AF94" i="7"/>
  <c r="X101" i="7"/>
  <c r="AD101" i="7" s="1"/>
  <c r="AB101" i="7"/>
  <c r="AH101" i="7" s="1"/>
  <c r="N64" i="7"/>
  <c r="N66" i="7"/>
  <c r="AH100" i="7"/>
  <c r="AD94" i="7"/>
  <c r="AA94" i="7"/>
  <c r="Z102" i="7"/>
  <c r="AC102" i="7"/>
  <c r="Z101" i="7"/>
  <c r="AC101" i="7"/>
  <c r="AC103" i="7"/>
  <c r="Z103" i="7"/>
  <c r="AA99" i="7"/>
  <c r="AD99" i="7"/>
  <c r="AD102" i="7"/>
  <c r="AA102" i="7"/>
  <c r="AB98" i="7"/>
  <c r="AE98" i="7"/>
  <c r="AE97" i="7"/>
  <c r="AB97" i="7"/>
  <c r="N61" i="7"/>
  <c r="N65" i="7"/>
  <c r="Z98" i="7"/>
  <c r="AC98" i="7"/>
  <c r="AC97" i="7"/>
  <c r="Z97" i="7"/>
  <c r="AH96" i="7"/>
  <c r="AB103" i="7"/>
  <c r="AE103" i="7"/>
  <c r="AD104" i="7"/>
  <c r="AA104" i="7"/>
  <c r="AH99" i="7"/>
  <c r="X98" i="7"/>
  <c r="W105" i="7"/>
  <c r="B9" i="7" s="1"/>
  <c r="N62" i="7"/>
  <c r="X97" i="7"/>
  <c r="Y95" i="7"/>
  <c r="X95" i="7"/>
  <c r="U105" i="7"/>
  <c r="N60" i="7"/>
  <c r="N63" i="7"/>
  <c r="AA67" i="7" l="1"/>
  <c r="AA68" i="7" s="1"/>
  <c r="AD100" i="7"/>
  <c r="AB61" i="7"/>
  <c r="AB65" i="7" s="1"/>
  <c r="AB66" i="7" s="1"/>
  <c r="AB67" i="7" s="1"/>
  <c r="Z68" i="7"/>
  <c r="AC61" i="7"/>
  <c r="AC65" i="7" s="1"/>
  <c r="AE61" i="7"/>
  <c r="Y61" i="7"/>
  <c r="Y65" i="7" s="1"/>
  <c r="Y66" i="7" s="1"/>
  <c r="Y67" i="7" s="1"/>
  <c r="Y68" i="7" s="1"/>
  <c r="Y69" i="7" s="1"/>
  <c r="AF61" i="7"/>
  <c r="AF65" i="7" s="1"/>
  <c r="AG61" i="7"/>
  <c r="AG65" i="7" s="1"/>
  <c r="AG66" i="7" s="1"/>
  <c r="AD103" i="7"/>
  <c r="AA101" i="7"/>
  <c r="AG101" i="7" s="1"/>
  <c r="AG100" i="7"/>
  <c r="AF101" i="7"/>
  <c r="AG104" i="7"/>
  <c r="AE105" i="7"/>
  <c r="AD98" i="7"/>
  <c r="AA98" i="7"/>
  <c r="O63" i="7"/>
  <c r="AH103" i="7"/>
  <c r="AD95" i="7"/>
  <c r="AA95" i="7"/>
  <c r="AC95" i="7"/>
  <c r="AC105" i="7" s="1"/>
  <c r="Z95" i="7"/>
  <c r="AD97" i="7"/>
  <c r="AA97" i="7"/>
  <c r="AH98" i="7"/>
  <c r="O64" i="7"/>
  <c r="AF98" i="7"/>
  <c r="AG99" i="7"/>
  <c r="Y105" i="7"/>
  <c r="D9" i="7" s="1"/>
  <c r="AH97" i="7"/>
  <c r="AF102" i="7"/>
  <c r="AF103" i="7"/>
  <c r="AG103" i="7"/>
  <c r="AE65" i="7"/>
  <c r="AD65" i="7"/>
  <c r="AD66" i="7" s="1"/>
  <c r="AD67" i="7" s="1"/>
  <c r="O60" i="7"/>
  <c r="O61" i="7"/>
  <c r="O62" i="7"/>
  <c r="O65" i="7"/>
  <c r="X105" i="7"/>
  <c r="C9" i="7" s="1"/>
  <c r="C51" i="7" s="1"/>
  <c r="AB105" i="7"/>
  <c r="AG102" i="7"/>
  <c r="AF97" i="7"/>
  <c r="O66" i="7"/>
  <c r="AG94" i="7"/>
  <c r="AE66" i="7" l="1"/>
  <c r="AE67" i="7" s="1"/>
  <c r="AC66" i="7"/>
  <c r="AC67" i="7" s="1"/>
  <c r="AC68" i="7" s="1"/>
  <c r="AG98" i="7"/>
  <c r="AH105" i="7"/>
  <c r="D10" i="7" s="1"/>
  <c r="D13" i="7" s="1"/>
  <c r="Z69" i="7"/>
  <c r="AD105" i="7"/>
  <c r="B51" i="7"/>
  <c r="D51" i="7"/>
  <c r="AF66" i="7"/>
  <c r="AB68" i="7"/>
  <c r="AG97" i="7"/>
  <c r="AD68" i="7"/>
  <c r="AF95" i="7"/>
  <c r="AF105" i="7" s="1"/>
  <c r="B10" i="7" s="1"/>
  <c r="B13" i="7" s="1"/>
  <c r="Z105" i="7"/>
  <c r="AG95" i="7"/>
  <c r="AA105" i="7"/>
  <c r="AE68" i="7"/>
  <c r="AB69" i="7" l="1"/>
  <c r="AG105" i="7"/>
  <c r="C10" i="7" s="1"/>
  <c r="C13" i="7" s="1"/>
  <c r="AD69" i="7"/>
  <c r="AF67" i="7"/>
  <c r="AF68" i="7" s="1"/>
  <c r="AG67" i="7"/>
  <c r="AG68" i="7" s="1"/>
  <c r="AF69" i="7" l="1"/>
  <c r="AF70" i="7" s="1"/>
  <c r="AB70" i="7"/>
  <c r="Z70" i="7" l="1"/>
  <c r="AD70" i="7"/>
</calcChain>
</file>

<file path=xl/sharedStrings.xml><?xml version="1.0" encoding="utf-8"?>
<sst xmlns="http://schemas.openxmlformats.org/spreadsheetml/2006/main" count="713" uniqueCount="571">
  <si>
    <t>Age</t>
  </si>
  <si>
    <t>Severe dengue</t>
  </si>
  <si>
    <t>Fatal dengue</t>
  </si>
  <si>
    <t>0-1</t>
  </si>
  <si>
    <t>1-4</t>
  </si>
  <si>
    <t>5-9</t>
  </si>
  <si>
    <t>10-14</t>
  </si>
  <si>
    <t>15-19</t>
  </si>
  <si>
    <t>20-29</t>
  </si>
  <si>
    <t>30-39</t>
  </si>
  <si>
    <t>40-49</t>
  </si>
  <si>
    <t>50-59</t>
  </si>
  <si>
    <t>60-69</t>
  </si>
  <si>
    <t>70+</t>
  </si>
  <si>
    <t>1.1. Routine surveillance data</t>
  </si>
  <si>
    <t>1.2. Completeness metrics</t>
  </si>
  <si>
    <t>Question</t>
  </si>
  <si>
    <t>Confirmed apparent dengue infections</t>
  </si>
  <si>
    <t>Measure (within cohort)</t>
  </si>
  <si>
    <t>What percentage of all primary, secondary and tertiary healthcare centres are able to notify the following types of cases to the national surveillance system?</t>
  </si>
  <si>
    <t>* notification fidelity is defined as the percentage of diagnosed dengue cases in a healthcare facility that has access to the notification system that are correctly notified in the national surveillance system.</t>
  </si>
  <si>
    <t>Value (Experiment 1)</t>
  </si>
  <si>
    <t>Value (Experiment 2)</t>
  </si>
  <si>
    <t>Value (Experiment 3)</t>
  </si>
  <si>
    <t>Value (Experiment 4)</t>
  </si>
  <si>
    <t>Value (Experiment 5)</t>
  </si>
  <si>
    <t>Notified dengue (children)</t>
  </si>
  <si>
    <t>Notified dengue (adults)</t>
  </si>
  <si>
    <t>Total</t>
  </si>
  <si>
    <t>Experiment 1</t>
  </si>
  <si>
    <t>Experiment 2</t>
  </si>
  <si>
    <t>Experiment 3</t>
  </si>
  <si>
    <t>Dengue cases correctly diagnosed in dengue positive UFI sample</t>
  </si>
  <si>
    <t>True dengue cases in UFI sample</t>
  </si>
  <si>
    <t>2.1. Febrile illness cohorts</t>
  </si>
  <si>
    <t>2.2. Seroprevalence surveys</t>
  </si>
  <si>
    <t>Force of infection estimate (0-1)</t>
  </si>
  <si>
    <t>Age group</t>
  </si>
  <si>
    <t>0-4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</si>
  <si>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</si>
  <si>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</si>
  <si>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</si>
  <si>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</si>
  <si>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</si>
  <si>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</si>
  <si>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</si>
  <si>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</si>
  <si>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</si>
  <si>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</si>
  <si>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</si>
  <si>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</si>
  <si>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</si>
  <si>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</si>
  <si>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</si>
  <si>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</si>
  <si>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</si>
  <si>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National population</t>
  </si>
  <si>
    <t>Age midpoint</t>
  </si>
  <si>
    <t>Survey 1</t>
  </si>
  <si>
    <t>Survey 2</t>
  </si>
  <si>
    <t>Survey 3</t>
  </si>
  <si>
    <t>Survey 4</t>
  </si>
  <si>
    <t>Survey 5</t>
  </si>
  <si>
    <t>Mean</t>
  </si>
  <si>
    <t>Age low</t>
  </si>
  <si>
    <t>Age high</t>
  </si>
  <si>
    <t>Pop</t>
  </si>
  <si>
    <t>Person-years of observation (Number in cohort * years each were observed for)</t>
  </si>
  <si>
    <t>Low</t>
  </si>
  <si>
    <t>High</t>
  </si>
  <si>
    <t>FOI_Survey_1</t>
  </si>
  <si>
    <t>Predicted infection incidence per 100,000 residents</t>
  </si>
  <si>
    <t>FOI_Survey_2</t>
  </si>
  <si>
    <t xml:space="preserve">  </t>
  </si>
  <si>
    <t>FOI_Survey_3</t>
  </si>
  <si>
    <t>FOI_Survey_4</t>
  </si>
  <si>
    <t>FOI_Survey_5</t>
  </si>
  <si>
    <t>Are private healthcare centres required to report all dengue cases to the national surveillance system? If YES: leave blank, If NO, what percentage of all febrile illness cases are treated only in private hospitals?</t>
  </si>
  <si>
    <t>Total completeness %: Severe dengue</t>
  </si>
  <si>
    <t>What is the percentage notification fidelity* for the following types of cases?</t>
  </si>
  <si>
    <t>PPV</t>
  </si>
  <si>
    <t>Suggested range of values</t>
  </si>
  <si>
    <t>80-100</t>
  </si>
  <si>
    <t>90-100</t>
  </si>
  <si>
    <t>50-100</t>
  </si>
  <si>
    <t>20-100</t>
  </si>
  <si>
    <t>10-50</t>
  </si>
  <si>
    <t>0.5-0.95</t>
  </si>
  <si>
    <t>0.4-0.9</t>
  </si>
  <si>
    <t>Sensitivity</t>
  </si>
  <si>
    <t>Suggested range of values for Sensitivity</t>
  </si>
  <si>
    <t>Number (child cohort)</t>
  </si>
  <si>
    <t>Number (adult cohort)</t>
  </si>
  <si>
    <t>Confirmed apparent dengue infections that sought treatment</t>
  </si>
  <si>
    <t>-</t>
  </si>
  <si>
    <t>Apparent dengue cases per notified case</t>
  </si>
  <si>
    <t>Serological cohort study calculator</t>
  </si>
  <si>
    <t>Dengue infections per notified case</t>
  </si>
  <si>
    <t>Death</t>
  </si>
  <si>
    <t>Clinical dengue fever</t>
  </si>
  <si>
    <t>Clinical undifferentiated febrile illness</t>
  </si>
  <si>
    <t>Dengue disease severity</t>
  </si>
  <si>
    <t>Sub-clinical apparent</t>
  </si>
  <si>
    <t>Asymptomatic</t>
  </si>
  <si>
    <t>Estimated burden</t>
  </si>
  <si>
    <t>Total dengue clinical burden</t>
  </si>
  <si>
    <t>Total dengue community burden</t>
  </si>
  <si>
    <t>Notif sden</t>
  </si>
  <si>
    <t>Notif den</t>
  </si>
  <si>
    <t>Notif fden</t>
  </si>
  <si>
    <t>FINAL ANNUAL BURDEN ESTIMATES</t>
  </si>
  <si>
    <t>Total dengue infections (primary and secondary, asymptomatic and symptomatic)</t>
  </si>
  <si>
    <t>Incidence of notified cases per 100,000 residents in area of the survey</t>
  </si>
  <si>
    <t>Incidence of notified dengue cases in the area of the cohort study per 100,000 residents</t>
  </si>
  <si>
    <t>Country</t>
  </si>
  <si>
    <t>GAUL_CODE</t>
  </si>
  <si>
    <t>App</t>
  </si>
  <si>
    <t>AppLo</t>
  </si>
  <si>
    <t>AppHi</t>
  </si>
  <si>
    <t>Inapp</t>
  </si>
  <si>
    <t>InappLo</t>
  </si>
  <si>
    <t>InappHi</t>
  </si>
  <si>
    <t>IHME_deaths</t>
  </si>
  <si>
    <t>IHME_deaths_low</t>
  </si>
  <si>
    <t>IHME_deaths_high</t>
  </si>
  <si>
    <t>Population_2010</t>
  </si>
  <si>
    <t>Region</t>
  </si>
  <si>
    <t>American Samoa</t>
  </si>
  <si>
    <t>NA</t>
  </si>
  <si>
    <t>Angola</t>
  </si>
  <si>
    <t>Anguilla</t>
  </si>
  <si>
    <t>Antigua and Barbuda</t>
  </si>
  <si>
    <t>Argentina</t>
  </si>
  <si>
    <t>Aruba</t>
  </si>
  <si>
    <t>Bahamas</t>
  </si>
  <si>
    <t>Bangladesh</t>
  </si>
  <si>
    <t>Barbados</t>
  </si>
  <si>
    <t>Belize</t>
  </si>
  <si>
    <t>Benin</t>
  </si>
  <si>
    <t>Bhutan</t>
  </si>
  <si>
    <t>Bolivia</t>
  </si>
  <si>
    <t>Brazil</t>
  </si>
  <si>
    <t>Virgin Islands, British</t>
  </si>
  <si>
    <t>Brunei Darussalam</t>
  </si>
  <si>
    <t>Burkina Faso</t>
  </si>
  <si>
    <t>Burundi</t>
  </si>
  <si>
    <t>Cambodia</t>
  </si>
  <si>
    <t>Cameroon</t>
  </si>
  <si>
    <t>Cape Verde</t>
  </si>
  <si>
    <t>Cayman Islands</t>
  </si>
  <si>
    <t>Central African Republic</t>
  </si>
  <si>
    <t>Chad</t>
  </si>
  <si>
    <t>China</t>
  </si>
  <si>
    <t>Colombia</t>
  </si>
  <si>
    <t>Comoros</t>
  </si>
  <si>
    <t>Congo</t>
  </si>
  <si>
    <t>Cook Islands</t>
  </si>
  <si>
    <t>Costa Rica</t>
  </si>
  <si>
    <t>Cuba</t>
  </si>
  <si>
    <t>Cote d'Ivoire</t>
  </si>
  <si>
    <t>Democratic Republic of the Congo</t>
  </si>
  <si>
    <t>Djibouti</t>
  </si>
  <si>
    <t>Dominica</t>
  </si>
  <si>
    <t>Dominican Republic</t>
  </si>
  <si>
    <t>Ecuador</t>
  </si>
  <si>
    <t>El Salvador</t>
  </si>
  <si>
    <t>Equatorial Guinea</t>
  </si>
  <si>
    <t>Eritrea</t>
  </si>
  <si>
    <t>Ethiopia</t>
  </si>
  <si>
    <t>Fiji</t>
  </si>
  <si>
    <t>French Guiana</t>
  </si>
  <si>
    <t>French Polynesia</t>
  </si>
  <si>
    <t>Gabon</t>
  </si>
  <si>
    <t>The Gambia</t>
  </si>
  <si>
    <t>Ghana</t>
  </si>
  <si>
    <t>Grenada</t>
  </si>
  <si>
    <t>Guadeloupe</t>
  </si>
  <si>
    <t>Guatemala</t>
  </si>
  <si>
    <t>Guinea-Bissau</t>
  </si>
  <si>
    <t>Guinea</t>
  </si>
  <si>
    <t>Guyana</t>
  </si>
  <si>
    <t>Haiti</t>
  </si>
  <si>
    <t>Honduras</t>
  </si>
  <si>
    <t>India</t>
  </si>
  <si>
    <t>Jamaica</t>
  </si>
  <si>
    <t>Kenya</t>
  </si>
  <si>
    <t>Kiribati</t>
  </si>
  <si>
    <t>Kyrgyzstan</t>
  </si>
  <si>
    <t>Lao People's Democratic Republic</t>
  </si>
  <si>
    <t>Liberia</t>
  </si>
  <si>
    <t>Macao</t>
  </si>
  <si>
    <t>Madagascar</t>
  </si>
  <si>
    <t>Malawi</t>
  </si>
  <si>
    <t>Malaysia</t>
  </si>
  <si>
    <t>Maldives</t>
  </si>
  <si>
    <t>Mali</t>
  </si>
  <si>
    <t>Marshall Islands</t>
  </si>
  <si>
    <t>Martinique</t>
  </si>
  <si>
    <t>Mauritania</t>
  </si>
  <si>
    <t>Mauritius</t>
  </si>
  <si>
    <t>Mayotte</t>
  </si>
  <si>
    <t>Micronesia, Federated States of</t>
  </si>
  <si>
    <t>Montserrat</t>
  </si>
  <si>
    <t>Mozambique</t>
  </si>
  <si>
    <t>Nauru</t>
  </si>
  <si>
    <t>Nepal</t>
  </si>
  <si>
    <t>Netherlands Antilles</t>
  </si>
  <si>
    <t>New Caledonia</t>
  </si>
  <si>
    <t>Nicaragua</t>
  </si>
  <si>
    <t>Niger</t>
  </si>
  <si>
    <t>Nigeria</t>
  </si>
  <si>
    <t>Niue</t>
  </si>
  <si>
    <t>Northern Mariana Islands</t>
  </si>
  <si>
    <t>Oman</t>
  </si>
  <si>
    <t>Pakistan</t>
  </si>
  <si>
    <t>Palau</t>
  </si>
  <si>
    <t>Panama</t>
  </si>
  <si>
    <t>Paraguay</t>
  </si>
  <si>
    <t>Philippines</t>
  </si>
  <si>
    <t>Puerto Rico</t>
  </si>
  <si>
    <t>Rwanda</t>
  </si>
  <si>
    <t>RŽunion</t>
  </si>
  <si>
    <t>Saint Kitts and Nevis</t>
  </si>
  <si>
    <t>Saint Lucia</t>
  </si>
  <si>
    <t>Saint Vincent and the Grenadines</t>
  </si>
  <si>
    <t>Samoa</t>
  </si>
  <si>
    <t xml:space="preserve">Sao Tome and Principe </t>
  </si>
  <si>
    <t>Saudi Arabia</t>
  </si>
  <si>
    <t>Senegal</t>
  </si>
  <si>
    <t>Seychelles</t>
  </si>
  <si>
    <t>Sierra Leone</t>
  </si>
  <si>
    <t>Singapore</t>
  </si>
  <si>
    <t>Somalia</t>
  </si>
  <si>
    <t>Sri Lanka</t>
  </si>
  <si>
    <t>Suriname</t>
  </si>
  <si>
    <t>Syrian Arab Republic</t>
  </si>
  <si>
    <t>Tajikistan</t>
  </si>
  <si>
    <t>Thailand</t>
  </si>
  <si>
    <t>Timor-Leste</t>
  </si>
  <si>
    <t>Togo</t>
  </si>
  <si>
    <t>Tokelau</t>
  </si>
  <si>
    <t>Tonga</t>
  </si>
  <si>
    <t>Trinidad and Tobago</t>
  </si>
  <si>
    <t>Turkmenistan</t>
  </si>
  <si>
    <t>Turks and Caicos Islands</t>
  </si>
  <si>
    <t>Tuvalu</t>
  </si>
  <si>
    <t>Uganda</t>
  </si>
  <si>
    <t>Tanzania (United Republic of)</t>
  </si>
  <si>
    <t>Virgin Islands, U.S.</t>
  </si>
  <si>
    <t>Uzbekistan</t>
  </si>
  <si>
    <t>Vanuatu</t>
  </si>
  <si>
    <t>Venezuela</t>
  </si>
  <si>
    <t>Wallis and Futuna</t>
  </si>
  <si>
    <t>Yemen</t>
  </si>
  <si>
    <t>Zambia</t>
  </si>
  <si>
    <t>Zimbabwe</t>
  </si>
  <si>
    <t>Hong Kong</t>
  </si>
  <si>
    <t>Sudan</t>
  </si>
  <si>
    <t>South Sudan</t>
  </si>
  <si>
    <t>Egypt</t>
  </si>
  <si>
    <t>Mexico</t>
  </si>
  <si>
    <t>Myanmar</t>
  </si>
  <si>
    <t>Papua New Guinea</t>
  </si>
  <si>
    <t>Peru</t>
  </si>
  <si>
    <t>Solomon Islands</t>
  </si>
  <si>
    <t>Afghanistan</t>
  </si>
  <si>
    <t>Viet Nam</t>
  </si>
  <si>
    <t>Indonesia</t>
  </si>
  <si>
    <t>Oxford</t>
  </si>
  <si>
    <t>IHME</t>
  </si>
  <si>
    <t>--</t>
  </si>
  <si>
    <t>Model predicted burden</t>
  </si>
  <si>
    <t>Select country:</t>
  </si>
  <si>
    <t>COUNTRY_ID</t>
  </si>
  <si>
    <t>AFG</t>
  </si>
  <si>
    <t>ASM</t>
  </si>
  <si>
    <t>AGO</t>
  </si>
  <si>
    <t>AIA</t>
  </si>
  <si>
    <t>ATG</t>
  </si>
  <si>
    <t>ARG</t>
  </si>
  <si>
    <t>ABW</t>
  </si>
  <si>
    <t>IND</t>
  </si>
  <si>
    <t>XXX</t>
  </si>
  <si>
    <t>BHS</t>
  </si>
  <si>
    <t>BGD</t>
  </si>
  <si>
    <t>BRB</t>
  </si>
  <si>
    <t>BLZ</t>
  </si>
  <si>
    <t>BEN</t>
  </si>
  <si>
    <t>BTN</t>
  </si>
  <si>
    <t>BOL</t>
  </si>
  <si>
    <t>BRA</t>
  </si>
  <si>
    <t>VGB</t>
  </si>
  <si>
    <t>BRN</t>
  </si>
  <si>
    <t>BFA</t>
  </si>
  <si>
    <t>BDI</t>
  </si>
  <si>
    <t>CIV</t>
  </si>
  <si>
    <t>KHM</t>
  </si>
  <si>
    <t>CMR</t>
  </si>
  <si>
    <t>CPV</t>
  </si>
  <si>
    <t>CYM</t>
  </si>
  <si>
    <t>CAF</t>
  </si>
  <si>
    <t>TCD</t>
  </si>
  <si>
    <t>CHL</t>
  </si>
  <si>
    <t>COL</t>
  </si>
  <si>
    <t>COM</t>
  </si>
  <si>
    <t>COG</t>
  </si>
  <si>
    <t>COK</t>
  </si>
  <si>
    <t>CRI</t>
  </si>
  <si>
    <t>CUB</t>
  </si>
  <si>
    <t>COD</t>
  </si>
  <si>
    <t>DJI</t>
  </si>
  <si>
    <t>DMA</t>
  </si>
  <si>
    <t>DOM</t>
  </si>
  <si>
    <t>ECU</t>
  </si>
  <si>
    <t>EGY</t>
  </si>
  <si>
    <t>SLV</t>
  </si>
  <si>
    <t>GNQ</t>
  </si>
  <si>
    <t>ERI</t>
  </si>
  <si>
    <t>ETH</t>
  </si>
  <si>
    <t>FJI</t>
  </si>
  <si>
    <t>GUF</t>
  </si>
  <si>
    <t>PYF</t>
  </si>
  <si>
    <t>GAB</t>
  </si>
  <si>
    <t>GMB</t>
  </si>
  <si>
    <t>GHA</t>
  </si>
  <si>
    <t>GRD</t>
  </si>
  <si>
    <t>GLP</t>
  </si>
  <si>
    <t>GTM</t>
  </si>
  <si>
    <t>GIN</t>
  </si>
  <si>
    <t>GNB</t>
  </si>
  <si>
    <t>GUY</t>
  </si>
  <si>
    <t>HTI</t>
  </si>
  <si>
    <t>HND</t>
  </si>
  <si>
    <t>HKG</t>
  </si>
  <si>
    <t>IDN</t>
  </si>
  <si>
    <t>JAM</t>
  </si>
  <si>
    <t>PAK</t>
  </si>
  <si>
    <t>KEN</t>
  </si>
  <si>
    <t>KIR</t>
  </si>
  <si>
    <t>KGZ</t>
  </si>
  <si>
    <t>LAO</t>
  </si>
  <si>
    <t>LBR</t>
  </si>
  <si>
    <t>MAC</t>
  </si>
  <si>
    <t>MDG</t>
  </si>
  <si>
    <t>MWI</t>
  </si>
  <si>
    <t>MYS</t>
  </si>
  <si>
    <t>MDV</t>
  </si>
  <si>
    <t>MLI</t>
  </si>
  <si>
    <t>MHL</t>
  </si>
  <si>
    <t>MTQ</t>
  </si>
  <si>
    <t>MRT</t>
  </si>
  <si>
    <t>MUS</t>
  </si>
  <si>
    <t>MYT</t>
  </si>
  <si>
    <t>MEX</t>
  </si>
  <si>
    <t>FSM</t>
  </si>
  <si>
    <t>MSR</t>
  </si>
  <si>
    <t>MOZ</t>
  </si>
  <si>
    <t>MMR</t>
  </si>
  <si>
    <t>NRU</t>
  </si>
  <si>
    <t>NPL</t>
  </si>
  <si>
    <t>ANT</t>
  </si>
  <si>
    <t>NCL</t>
  </si>
  <si>
    <t>NIC</t>
  </si>
  <si>
    <t>NER</t>
  </si>
  <si>
    <t>NGA</t>
  </si>
  <si>
    <t>NIU</t>
  </si>
  <si>
    <t>MNP</t>
  </si>
  <si>
    <t>OMN</t>
  </si>
  <si>
    <t>PLW</t>
  </si>
  <si>
    <t>PAN</t>
  </si>
  <si>
    <t>PNG</t>
  </si>
  <si>
    <t>PRY</t>
  </si>
  <si>
    <t>PER</t>
  </si>
  <si>
    <t>PHL</t>
  </si>
  <si>
    <t>PRI</t>
  </si>
  <si>
    <t>REU</t>
  </si>
  <si>
    <t>RWA</t>
  </si>
  <si>
    <t>KNA</t>
  </si>
  <si>
    <t>LCA</t>
  </si>
  <si>
    <t>VCT</t>
  </si>
  <si>
    <t>WSM</t>
  </si>
  <si>
    <t>STP</t>
  </si>
  <si>
    <t>SAU</t>
  </si>
  <si>
    <t>SEN</t>
  </si>
  <si>
    <t>SYC</t>
  </si>
  <si>
    <t>SLE</t>
  </si>
  <si>
    <t>SGP</t>
  </si>
  <si>
    <t>SLB</t>
  </si>
  <si>
    <t>SOM</t>
  </si>
  <si>
    <t>SSD</t>
  </si>
  <si>
    <t>LKA</t>
  </si>
  <si>
    <t>SDN</t>
  </si>
  <si>
    <t>SUR</t>
  </si>
  <si>
    <t>SYR</t>
  </si>
  <si>
    <t>TJK</t>
  </si>
  <si>
    <t>THA</t>
  </si>
  <si>
    <t>TLS</t>
  </si>
  <si>
    <t>TGO</t>
  </si>
  <si>
    <t>TKL</t>
  </si>
  <si>
    <t>TON</t>
  </si>
  <si>
    <t>TTO</t>
  </si>
  <si>
    <t>TKM</t>
  </si>
  <si>
    <t>TCA</t>
  </si>
  <si>
    <t>TUV</t>
  </si>
  <si>
    <t>UGA</t>
  </si>
  <si>
    <t>TZA</t>
  </si>
  <si>
    <t>VIR</t>
  </si>
  <si>
    <t>UZB</t>
  </si>
  <si>
    <t>VUT</t>
  </si>
  <si>
    <t>VEN</t>
  </si>
  <si>
    <t>VNM</t>
  </si>
  <si>
    <t>WLF</t>
  </si>
  <si>
    <t>YEM</t>
  </si>
  <si>
    <t>ZMB</t>
  </si>
  <si>
    <t>ZWE</t>
  </si>
  <si>
    <t>Med</t>
  </si>
  <si>
    <t>Country-data estimated:</t>
  </si>
  <si>
    <t>Model estimated:</t>
  </si>
  <si>
    <t>10-1000 per 100,000 residents</t>
  </si>
  <si>
    <t>2-30 per 1000 cohort person years</t>
  </si>
  <si>
    <t>0-15 per 1000 cohort person years</t>
  </si>
  <si>
    <t>10-300 per 1000 cohort person years</t>
  </si>
  <si>
    <t>100-10,000 per 100,000 residents</t>
  </si>
  <si>
    <t>1.5-30 per notified case</t>
  </si>
  <si>
    <t>0.05-0.25</t>
  </si>
  <si>
    <t>Brandeis</t>
  </si>
  <si>
    <t>For plotting</t>
  </si>
  <si>
    <t>High_EB</t>
  </si>
  <si>
    <t>Low_EB</t>
  </si>
  <si>
    <t>Burden calculator</t>
  </si>
  <si>
    <t>1.3. Over-diagnosis analysis</t>
  </si>
  <si>
    <t>1.4. Under-diagnosis analysis</t>
  </si>
  <si>
    <t>Non-severe dengue</t>
  </si>
  <si>
    <t>Total completeness %: Non-severe dengue</t>
  </si>
  <si>
    <t>Self managed dengue</t>
  </si>
  <si>
    <t>Inapparent dengue</t>
  </si>
  <si>
    <t>IHME_cases</t>
  </si>
  <si>
    <t>IHME_cases_high</t>
  </si>
  <si>
    <t>IHME_cases_low</t>
  </si>
  <si>
    <t>Completeness</t>
  </si>
  <si>
    <t>Overdiagnosis</t>
  </si>
  <si>
    <t>Adults PPV</t>
  </si>
  <si>
    <t>Children PPV</t>
  </si>
  <si>
    <t>Underdiagnosis</t>
  </si>
  <si>
    <t>child min</t>
  </si>
  <si>
    <t>sev min</t>
  </si>
  <si>
    <t>sev mid</t>
  </si>
  <si>
    <t>sev max</t>
  </si>
  <si>
    <t>Nsev min</t>
  </si>
  <si>
    <t>Nsev mid</t>
  </si>
  <si>
    <t>Nsev max</t>
  </si>
  <si>
    <t>child mid</t>
  </si>
  <si>
    <t>child max</t>
  </si>
  <si>
    <t>adult min</t>
  </si>
  <si>
    <t>adult mid</t>
  </si>
  <si>
    <t>adult max</t>
  </si>
  <si>
    <t>Febrile cohorts</t>
  </si>
  <si>
    <t>Apparent cases per notified case</t>
  </si>
  <si>
    <t>child</t>
  </si>
  <si>
    <t>adult</t>
  </si>
  <si>
    <t>Proportion apparent cases sought treatment</t>
  </si>
  <si>
    <t>Proportion of apparent cases that seek treatment</t>
  </si>
  <si>
    <t>min</t>
  </si>
  <si>
    <t>mid</t>
  </si>
  <si>
    <t>max</t>
  </si>
  <si>
    <t>Final deaths</t>
  </si>
  <si>
    <t>Final severe min</t>
  </si>
  <si>
    <t>Final severe mid</t>
  </si>
  <si>
    <t>Final severe max</t>
  </si>
  <si>
    <t>Final Nsev min</t>
  </si>
  <si>
    <t>Final Nsev mid</t>
  </si>
  <si>
    <t>Final Nsev max</t>
  </si>
  <si>
    <t>Notif den (clin)</t>
  </si>
  <si>
    <t>Notif den (test)</t>
  </si>
  <si>
    <t>Samples tested</t>
  </si>
  <si>
    <t>Samples positive</t>
  </si>
  <si>
    <t>Notif total</t>
  </si>
  <si>
    <t>Final clin min</t>
  </si>
  <si>
    <t>Final clin mid</t>
  </si>
  <si>
    <t>Final clin max</t>
  </si>
  <si>
    <t>Final SM meth1 min</t>
  </si>
  <si>
    <t>Final SM meth1 mid</t>
  </si>
  <si>
    <t>Final SM meth1 max</t>
  </si>
  <si>
    <t>Final SM meth2</t>
  </si>
  <si>
    <t>Final SM min</t>
  </si>
  <si>
    <t>Final SM mid</t>
  </si>
  <si>
    <t>Final SM max</t>
  </si>
  <si>
    <t>Final As m1 min</t>
  </si>
  <si>
    <t>Final As m1 mid</t>
  </si>
  <si>
    <t>Final As m1 max</t>
  </si>
  <si>
    <t>Final As m2 min</t>
  </si>
  <si>
    <t>Final As m2 mid</t>
  </si>
  <si>
    <t>Final As m2 max</t>
  </si>
  <si>
    <t>Infections per notified case</t>
  </si>
  <si>
    <t>Seroprevalence: Infections per notified case</t>
  </si>
  <si>
    <t>Final AS min</t>
  </si>
  <si>
    <t>Final AS mid</t>
  </si>
  <si>
    <t>Final AS max</t>
  </si>
  <si>
    <t>GBD</t>
  </si>
  <si>
    <t>Diagnostic test positive</t>
  </si>
  <si>
    <t>Diagnostic test negative</t>
  </si>
  <si>
    <t>Clinical burden uncertainty</t>
  </si>
  <si>
    <t>Min</t>
  </si>
  <si>
    <t>Max</t>
  </si>
  <si>
    <t>Non severe</t>
  </si>
  <si>
    <t>Severe</t>
  </si>
  <si>
    <t>children</t>
  </si>
  <si>
    <t>adults</t>
  </si>
  <si>
    <t>cov non sev</t>
  </si>
  <si>
    <t>cov sev</t>
  </si>
  <si>
    <t>pub priv</t>
  </si>
  <si>
    <t>non sev fid</t>
  </si>
  <si>
    <t>sev fid</t>
  </si>
  <si>
    <t>under children</t>
  </si>
  <si>
    <t>under adults</t>
  </si>
  <si>
    <t>Repeat earlier clinical burden tables</t>
  </si>
  <si>
    <t>Coverage non-severe</t>
  </si>
  <si>
    <t>Coverage severe</t>
  </si>
  <si>
    <t>Normal</t>
  </si>
  <si>
    <t>non sev</t>
  </si>
  <si>
    <t>sev</t>
  </si>
  <si>
    <t>death</t>
  </si>
  <si>
    <t>Dr</t>
  </si>
  <si>
    <t>Sr</t>
  </si>
  <si>
    <t>Crt</t>
  </si>
  <si>
    <t>beta</t>
  </si>
  <si>
    <t>gamma</t>
  </si>
  <si>
    <t>Crc</t>
  </si>
  <si>
    <t>normal</t>
  </si>
  <si>
    <t>cov nonsev</t>
  </si>
  <si>
    <t>pubpriv</t>
  </si>
  <si>
    <t>fidnonsev</t>
  </si>
  <si>
    <t>fidsev</t>
  </si>
  <si>
    <t>Public private</t>
  </si>
  <si>
    <t>Fidelity non severe</t>
  </si>
  <si>
    <t>Fidelity severe</t>
  </si>
  <si>
    <t>Underdiagnosis children</t>
  </si>
  <si>
    <t>Underdiagnosis adults</t>
  </si>
  <si>
    <t>% deviation</t>
  </si>
  <si>
    <t>Normalized</t>
  </si>
  <si>
    <t>All reported cases</t>
  </si>
  <si>
    <t>alpha</t>
  </si>
  <si>
    <t>epsilon</t>
  </si>
  <si>
    <t>delta</t>
  </si>
  <si>
    <t>Tau</t>
  </si>
  <si>
    <t>Mew</t>
  </si>
  <si>
    <t xml:space="preserve">M </t>
  </si>
  <si>
    <t>theta</t>
  </si>
  <si>
    <t>A</t>
  </si>
  <si>
    <t>average</t>
  </si>
  <si>
    <t>min epsilon</t>
  </si>
  <si>
    <t>max epsilon</t>
  </si>
  <si>
    <t>min Tau</t>
  </si>
  <si>
    <t>max Tau</t>
  </si>
  <si>
    <t>M app min</t>
  </si>
  <si>
    <t>M app max</t>
  </si>
  <si>
    <t>M ass min</t>
  </si>
  <si>
    <t>M ass max</t>
  </si>
  <si>
    <t>Total community</t>
  </si>
  <si>
    <t>% difference</t>
  </si>
  <si>
    <t>normal % diff</t>
  </si>
  <si>
    <t>* see table 7 and 8 of the burden toolkit for suggestions on what appropriate tests to include</t>
  </si>
  <si>
    <t>Clinical and/or test confirmed</t>
  </si>
  <si>
    <t>Deaths mid</t>
  </si>
  <si>
    <t>Deaths low</t>
  </si>
  <si>
    <t>Deaths high</t>
  </si>
  <si>
    <t>Cases mid</t>
  </si>
  <si>
    <t>Cases low</t>
  </si>
  <si>
    <t>Cases high</t>
  </si>
  <si>
    <t xml:space="preserve">NA </t>
  </si>
  <si>
    <t>Clinical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</si>
</sst>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"/>
    <numFmt numFmtId="166" formatCode="0.000"/>
  </numFmts>
  <fonts count="14" x14ac:knownFonts="1"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0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1">
    <xf numFmtId="0" fontId="0" fillId="0" borderId="0" xfId="0"/>
    <xf numFmtId="49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vertical="center"/>
    </xf>
    <xf numFmtId="0" fontId="6" fillId="3" borderId="1" xfId="0" applyFont="1" applyFill="1" applyBorder="1"/>
    <xf numFmtId="0" fontId="9" fillId="3" borderId="1" xfId="0" applyFont="1" applyFill="1" applyBorder="1" applyAlignment="1">
      <alignment vertical="center" wrapText="1"/>
    </xf>
    <xf numFmtId="49" fontId="9" fillId="3" borderId="8" xfId="0" applyNumberFormat="1" applyFont="1" applyFill="1" applyBorder="1" applyAlignment="1">
      <alignment horizontal="left" vertical="center" wrapText="1"/>
    </xf>
    <xf numFmtId="0" fontId="0" fillId="5" borderId="1" xfId="0" applyFill="1" applyBorder="1"/>
    <xf numFmtId="0" fontId="7" fillId="5" borderId="1" xfId="0" applyFont="1" applyFill="1" applyBorder="1"/>
    <xf numFmtId="0" fontId="0" fillId="3" borderId="1" xfId="0" applyFill="1" applyBorder="1"/>
    <xf numFmtId="0" fontId="0" fillId="6" borderId="1" xfId="0" applyFill="1" applyBorder="1"/>
    <xf numFmtId="0" fontId="4" fillId="6" borderId="1" xfId="0" applyFont="1" applyFill="1" applyBorder="1" applyAlignment="1">
      <alignment vertical="center" wrapText="1"/>
    </xf>
    <xf numFmtId="0" fontId="0" fillId="6" borderId="5" xfId="0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7" fillId="5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0" fillId="6" borderId="2" xfId="0" applyFill="1" applyBorder="1"/>
    <xf numFmtId="0" fontId="5" fillId="6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7" fillId="5" borderId="2" xfId="0" applyFont="1" applyFill="1" applyBorder="1"/>
    <xf numFmtId="0" fontId="10" fillId="5" borderId="1" xfId="1" applyFont="1" applyFill="1" applyBorder="1" applyAlignment="1">
      <alignment vertical="center" wrapText="1"/>
    </xf>
    <xf numFmtId="0" fontId="0" fillId="0" borderId="0" xfId="0" applyFont="1"/>
    <xf numFmtId="0" fontId="8" fillId="0" borderId="0" xfId="0" applyFont="1"/>
    <xf numFmtId="0" fontId="0" fillId="6" borderId="8" xfId="0" applyFill="1" applyBorder="1"/>
    <xf numFmtId="49" fontId="0" fillId="6" borderId="10" xfId="0" applyNumberFormat="1" applyFill="1" applyBorder="1"/>
    <xf numFmtId="49" fontId="0" fillId="6" borderId="12" xfId="0" applyNumberFormat="1" applyFill="1" applyBorder="1"/>
    <xf numFmtId="49" fontId="0" fillId="6" borderId="14" xfId="0" applyNumberFormat="1" applyFill="1" applyBorder="1"/>
    <xf numFmtId="3" fontId="7" fillId="5" borderId="9" xfId="0" applyNumberFormat="1" applyFont="1" applyFill="1" applyBorder="1"/>
    <xf numFmtId="3" fontId="7" fillId="5" borderId="11" xfId="0" applyNumberFormat="1" applyFont="1" applyFill="1" applyBorder="1"/>
    <xf numFmtId="3" fontId="7" fillId="5" borderId="6" xfId="0" applyNumberFormat="1" applyFont="1" applyFill="1" applyBorder="1"/>
    <xf numFmtId="3" fontId="7" fillId="5" borderId="15" xfId="0" applyNumberFormat="1" applyFont="1" applyFill="1" applyBorder="1"/>
    <xf numFmtId="0" fontId="0" fillId="5" borderId="5" xfId="0" applyFill="1" applyBorder="1"/>
    <xf numFmtId="49" fontId="0" fillId="5" borderId="5" xfId="0" applyNumberFormat="1" applyFill="1" applyBorder="1"/>
    <xf numFmtId="0" fontId="6" fillId="0" borderId="0" xfId="0" applyFont="1"/>
    <xf numFmtId="0" fontId="0" fillId="0" borderId="0" xfId="0" applyFont="1" applyFill="1" applyBorder="1" applyAlignment="1"/>
    <xf numFmtId="166" fontId="7" fillId="5" borderId="1" xfId="0" applyNumberFormat="1" applyFont="1" applyFill="1" applyBorder="1"/>
    <xf numFmtId="1" fontId="6" fillId="0" borderId="0" xfId="0" applyNumberFormat="1" applyFont="1"/>
    <xf numFmtId="0" fontId="0" fillId="0" borderId="0" xfId="0" quotePrefix="1"/>
    <xf numFmtId="3" fontId="7" fillId="0" borderId="0" xfId="0" applyNumberFormat="1" applyFont="1" applyFill="1" applyBorder="1"/>
    <xf numFmtId="0" fontId="0" fillId="6" borderId="1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0" fontId="0" fillId="0" borderId="0" xfId="0" applyFont="1" applyFill="1" applyBorder="1"/>
    <xf numFmtId="0" fontId="0" fillId="6" borderId="5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wrapText="1"/>
    </xf>
    <xf numFmtId="0" fontId="0" fillId="4" borderId="11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6" borderId="2" xfId="0" applyFont="1" applyFill="1" applyBorder="1" applyAlignment="1">
      <alignment horizontal="center" wrapText="1"/>
    </xf>
    <xf numFmtId="0" fontId="0" fillId="5" borderId="14" xfId="0" applyFill="1" applyBorder="1"/>
    <xf numFmtId="0" fontId="0" fillId="0" borderId="0" xfId="0" applyFill="1" applyBorder="1" applyProtection="1">
      <protection locked="0"/>
    </xf>
    <xf numFmtId="0" fontId="7" fillId="0" borderId="0" xfId="0" applyFont="1" applyFill="1" applyBorder="1"/>
    <xf numFmtId="0" fontId="7" fillId="6" borderId="11" xfId="0" applyFont="1" applyFill="1" applyBorder="1"/>
    <xf numFmtId="0" fontId="7" fillId="6" borderId="15" xfId="0" applyFont="1" applyFill="1" applyBorder="1"/>
    <xf numFmtId="49" fontId="6" fillId="6" borderId="5" xfId="0" applyNumberFormat="1" applyFont="1" applyFill="1" applyBorder="1"/>
    <xf numFmtId="0" fontId="6" fillId="5" borderId="8" xfId="0" applyNumberFormat="1" applyFont="1" applyFill="1" applyBorder="1"/>
    <xf numFmtId="49" fontId="6" fillId="0" borderId="0" xfId="0" applyNumberFormat="1" applyFont="1"/>
    <xf numFmtId="164" fontId="6" fillId="0" borderId="0" xfId="0" applyNumberFormat="1" applyFont="1"/>
    <xf numFmtId="0" fontId="8" fillId="0" borderId="0" xfId="0" applyFont="1" applyFill="1" applyBorder="1"/>
    <xf numFmtId="3" fontId="8" fillId="0" borderId="0" xfId="0" applyNumberFormat="1" applyFont="1"/>
    <xf numFmtId="0" fontId="8" fillId="0" borderId="0" xfId="0" applyFont="1" applyBorder="1" applyAlignment="1">
      <alignment vertical="center"/>
    </xf>
    <xf numFmtId="0" fontId="8" fillId="0" borderId="0" xfId="0" applyFont="1" applyBorder="1"/>
    <xf numFmtId="49" fontId="8" fillId="0" borderId="0" xfId="0" applyNumberFormat="1" applyFont="1" applyBorder="1"/>
    <xf numFmtId="49" fontId="8" fillId="0" borderId="0" xfId="0" applyNumberFormat="1" applyFont="1" applyFill="1" applyBorder="1"/>
    <xf numFmtId="0" fontId="11" fillId="0" borderId="0" xfId="0" applyFont="1"/>
    <xf numFmtId="0" fontId="7" fillId="8" borderId="2" xfId="0" applyFont="1" applyFill="1" applyBorder="1"/>
    <xf numFmtId="0" fontId="7" fillId="8" borderId="2" xfId="0" applyFont="1" applyFill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0" fillId="6" borderId="2" xfId="0" applyFont="1" applyFill="1" applyBorder="1"/>
    <xf numFmtId="0" fontId="0" fillId="6" borderId="9" xfId="0" applyFont="1" applyFill="1" applyBorder="1"/>
    <xf numFmtId="3" fontId="0" fillId="5" borderId="10" xfId="0" applyNumberFormat="1" applyFont="1" applyFill="1" applyBorder="1"/>
    <xf numFmtId="3" fontId="0" fillId="5" borderId="2" xfId="0" applyNumberFormat="1" applyFont="1" applyFill="1" applyBorder="1"/>
    <xf numFmtId="3" fontId="0" fillId="0" borderId="0" xfId="0" applyNumberFormat="1" applyFont="1" applyFill="1" applyBorder="1"/>
    <xf numFmtId="0" fontId="0" fillId="6" borderId="0" xfId="0" applyFont="1" applyFill="1" applyBorder="1"/>
    <xf numFmtId="3" fontId="0" fillId="5" borderId="12" xfId="0" applyNumberFormat="1" applyFont="1" applyFill="1" applyBorder="1"/>
    <xf numFmtId="3" fontId="0" fillId="5" borderId="3" xfId="0" applyNumberFormat="1" applyFont="1" applyFill="1" applyBorder="1"/>
    <xf numFmtId="0" fontId="0" fillId="6" borderId="0" xfId="0" applyFont="1" applyFill="1" applyBorder="1" applyAlignment="1">
      <alignment vertical="center"/>
    </xf>
    <xf numFmtId="3" fontId="12" fillId="5" borderId="12" xfId="0" applyNumberFormat="1" applyFont="1" applyFill="1" applyBorder="1"/>
    <xf numFmtId="3" fontId="12" fillId="5" borderId="3" xfId="0" applyNumberFormat="1" applyFont="1" applyFill="1" applyBorder="1"/>
    <xf numFmtId="3" fontId="0" fillId="0" borderId="0" xfId="0" applyNumberFormat="1" applyFont="1" applyFill="1" applyBorder="1" applyAlignment="1"/>
    <xf numFmtId="0" fontId="0" fillId="6" borderId="6" xfId="0" applyFont="1" applyFill="1" applyBorder="1"/>
    <xf numFmtId="3" fontId="0" fillId="5" borderId="14" xfId="0" applyNumberFormat="1" applyFont="1" applyFill="1" applyBorder="1"/>
    <xf numFmtId="3" fontId="0" fillId="5" borderId="4" xfId="0" applyNumberFormat="1" applyFont="1" applyFill="1" applyBorder="1"/>
    <xf numFmtId="3" fontId="12" fillId="0" borderId="0" xfId="0" applyNumberFormat="1" applyFont="1" applyFill="1" applyBorder="1"/>
    <xf numFmtId="3" fontId="0" fillId="6" borderId="0" xfId="0" applyNumberFormat="1" applyFont="1" applyFill="1" applyBorder="1"/>
    <xf numFmtId="3" fontId="0" fillId="6" borderId="13" xfId="0" applyNumberFormat="1" applyFont="1" applyFill="1" applyBorder="1"/>
    <xf numFmtId="0" fontId="0" fillId="0" borderId="0" xfId="0" applyFont="1" applyBorder="1"/>
    <xf numFmtId="0" fontId="0" fillId="6" borderId="1" xfId="0" applyFont="1" applyFill="1" applyBorder="1"/>
    <xf numFmtId="3" fontId="0" fillId="7" borderId="1" xfId="0" applyNumberFormat="1" applyFont="1" applyFill="1" applyBorder="1" applyAlignment="1">
      <alignment horizontal="right" vertical="center"/>
    </xf>
    <xf numFmtId="3" fontId="0" fillId="7" borderId="4" xfId="0" applyNumberFormat="1" applyFont="1" applyFill="1" applyBorder="1" applyAlignment="1">
      <alignment horizontal="right" vertical="center"/>
    </xf>
    <xf numFmtId="0" fontId="0" fillId="6" borderId="3" xfId="0" applyFont="1" applyFill="1" applyBorder="1"/>
    <xf numFmtId="0" fontId="0" fillId="6" borderId="3" xfId="0" applyFont="1" applyFill="1" applyBorder="1" applyAlignment="1">
      <alignment vertical="center"/>
    </xf>
    <xf numFmtId="0" fontId="0" fillId="6" borderId="4" xfId="0" applyFont="1" applyFill="1" applyBorder="1"/>
    <xf numFmtId="0" fontId="0" fillId="7" borderId="1" xfId="0" applyFont="1" applyFill="1" applyBorder="1" applyAlignment="1">
      <alignment horizontal="right"/>
    </xf>
    <xf numFmtId="0" fontId="13" fillId="0" borderId="0" xfId="0" applyFont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/>
    </xf>
    <xf numFmtId="3" fontId="0" fillId="7" borderId="1" xfId="0" applyNumberFormat="1" applyFont="1" applyFill="1" applyBorder="1" applyAlignment="1">
      <alignment horizontal="right" vertical="center"/>
    </xf>
    <xf numFmtId="0" fontId="7" fillId="6" borderId="5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3" fontId="0" fillId="7" borderId="2" xfId="0" applyNumberFormat="1" applyFont="1" applyFill="1" applyBorder="1" applyAlignment="1">
      <alignment horizontal="right" vertical="center"/>
    </xf>
    <xf numFmtId="3" fontId="0" fillId="7" borderId="3" xfId="0" applyNumberFormat="1" applyFont="1" applyFill="1" applyBorder="1" applyAlignment="1">
      <alignment horizontal="right" vertical="center"/>
    </xf>
    <xf numFmtId="3" fontId="0" fillId="7" borderId="4" xfId="0" applyNumberFormat="1" applyFont="1" applyFill="1" applyBorder="1" applyAlignment="1">
      <alignment horizontal="right" vertical="center"/>
    </xf>
    <xf numFmtId="0" fontId="0" fillId="6" borderId="4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5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Neutral" xfId="1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'FINAL BURDEN ESTIMATION'!$D$51:$D$54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'FINAL BURDEN ESTIMATION'!$B$51:$B$54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cat>
            <c:strRef>
              <c:f>'FINAL BURDEN ESTIMATION'!$A$51:$A$54</c:f>
              <c:strCache>
                <c:ptCount val="4"/>
                <c:pt idx="0">
                  <c:v>Burden calculator</c:v>
                </c:pt>
                <c:pt idx="1">
                  <c:v>Oxford</c:v>
                </c:pt>
                <c:pt idx="2">
                  <c:v>GBD</c:v>
                </c:pt>
                <c:pt idx="3">
                  <c:v>Brandeis</c:v>
                </c:pt>
              </c:strCache>
            </c:strRef>
          </c:cat>
          <c:val>
            <c:numRef>
              <c:f>'FINAL BURDEN ESTIMATION'!$C$51:$C$54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5-B340-A884-B549DADD0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35648"/>
        <c:axId val="254037008"/>
      </c:barChart>
      <c:catAx>
        <c:axId val="25403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4037008"/>
        <c:crosses val="autoZero"/>
        <c:auto val="1"/>
        <c:lblAlgn val="ctr"/>
        <c:lblOffset val="100"/>
        <c:noMultiLvlLbl val="0"/>
      </c:catAx>
      <c:valAx>
        <c:axId val="254037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symptomatic infections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5403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Sources</a:t>
            </a:r>
            <a:r>
              <a:rPr lang="en-US" baseline="0"/>
              <a:t> of uncertainty in clinical burden estimate</a:t>
            </a:r>
            <a:endParaRPr lang="en-US"/>
          </a:p>
        </c:rich>
      </c:tx>
      <c:layout>
        <c:manualLayout>
          <c:xMode val="edge"/>
          <c:yMode val="edge"/>
          <c:x val="0.10183242871340099"/>
          <c:y val="2.6737967914438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FAA-104A-B2C7-A0CEF4586F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FAA-104A-B2C7-A0CEF4586F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FAA-104A-B2C7-A0CEF4586F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FAA-104A-B2C7-A0CEF4586F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FAA-104A-B2C7-A0CEF4586F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FAA-104A-B2C7-A0CEF4586F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FAA-104A-B2C7-A0CEF4586FD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FAA-104A-B2C7-A0CEF4586FD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FAA-104A-B2C7-A0CEF4586FD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FAA-104A-B2C7-A0CEF4586FD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FAA-104A-B2C7-A0CEF4586FD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FAA-104A-B2C7-A0CEF4586FD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FAA-104A-B2C7-A0CEF4586FD5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AFAA-104A-B2C7-A0CEF4586F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'FINAL BURDEN ESTIMATION'!$J$60:$J$66</c:f>
              <c:strCache>
                <c:ptCount val="7"/>
                <c:pt idx="0">
                  <c:v>Coverage non-severe</c:v>
                </c:pt>
                <c:pt idx="1">
                  <c:v>Coverage severe</c:v>
                </c:pt>
                <c:pt idx="2">
                  <c:v>Public private</c:v>
                </c:pt>
                <c:pt idx="3">
                  <c:v>Fidelity non severe</c:v>
                </c:pt>
                <c:pt idx="4">
                  <c:v>Fidelity severe</c:v>
                </c:pt>
                <c:pt idx="5">
                  <c:v>Underdiagnosis children</c:v>
                </c:pt>
                <c:pt idx="6">
                  <c:v>Underdiagnosis adults</c:v>
                </c:pt>
              </c:strCache>
            </c:strRef>
          </c:cat>
          <c:val>
            <c:numRef>
              <c:f>'FINAL BURDEN ESTIMATION'!$O$60:$O$66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AA-104A-B2C7-A0CEF4586FD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29</xdr:row>
      <xdr:rowOff>44450</xdr:rowOff>
    </xdr:from>
    <xdr:to>
      <xdr:col>5</xdr:col>
      <xdr:colOff>1600200</xdr:colOff>
      <xdr:row>46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292149</xdr:colOff>
      <xdr:row>0</xdr:row>
      <xdr:rowOff>102333</xdr:rowOff>
    </xdr:from>
    <xdr:to>
      <xdr:col>16</xdr:col>
      <xdr:colOff>959135</xdr:colOff>
      <xdr:row>23</xdr:row>
      <xdr:rowOff>182398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125" zoomScaleNormal="175" zoomScalePageLayoutView="175" workbookViewId="0">
      <selection activeCell="B6" sqref="B6"/>
    </sheetView>
  </sheetViews>
  <sheetFormatPr baseColWidth="10" defaultRowHeight="16" x14ac:dyDescent="0.2"/>
  <cols>
    <col min="2" max="6" width="16" customWidth="1"/>
    <col min="7" max="7" width="19" bestFit="1" customWidth="1"/>
    <col min="8" max="8" width="7.83203125" bestFit="1" customWidth="1"/>
    <col min="9" max="9" width="15.6640625" bestFit="1" customWidth="1"/>
    <col min="10" max="10" width="19" bestFit="1" customWidth="1"/>
  </cols>
  <sheetData>
    <row r="1" spans="1:11" x14ac:dyDescent="0.2">
      <c r="G1" s="5"/>
      <c r="H1" s="5"/>
      <c r="I1" s="5"/>
      <c r="J1" s="5"/>
      <c r="K1" s="5"/>
    </row>
    <row r="2" spans="1:11" x14ac:dyDescent="0.2">
      <c r="A2" t="s">
        <v>14</v>
      </c>
      <c r="G2" s="5"/>
      <c r="H2" s="5"/>
      <c r="I2" s="5"/>
      <c r="J2" s="5"/>
      <c r="K2" s="5"/>
    </row>
    <row r="3" spans="1:11" x14ac:dyDescent="0.2">
      <c r="G3" s="5"/>
      <c r="H3" s="5"/>
      <c r="I3" s="5"/>
      <c r="J3" s="5"/>
      <c r="K3" s="5"/>
    </row>
    <row r="4" spans="1:11" x14ac:dyDescent="0.2">
      <c r="A4" s="118" t="s">
        <v>0</v>
      </c>
      <c r="B4" s="120" t="s">
        <v>432</v>
      </c>
      <c r="C4" s="121"/>
      <c r="D4" s="122"/>
      <c r="E4" s="65" t="s">
        <v>1</v>
      </c>
      <c r="F4" s="66" t="s">
        <v>2</v>
      </c>
      <c r="G4" s="49"/>
      <c r="H4" s="5"/>
      <c r="I4" s="49"/>
      <c r="J4" s="49"/>
      <c r="K4" s="5"/>
    </row>
    <row r="5" spans="1:11" ht="34" customHeight="1" x14ac:dyDescent="0.2">
      <c r="A5" s="119"/>
      <c r="B5" s="67" t="s">
        <v>562</v>
      </c>
      <c r="C5" s="71" t="s">
        <v>474</v>
      </c>
      <c r="D5" s="71" t="s">
        <v>475</v>
      </c>
      <c r="E5" s="67" t="s">
        <v>562</v>
      </c>
      <c r="F5" s="67" t="s">
        <v>562</v>
      </c>
      <c r="G5" s="5"/>
      <c r="H5" s="5"/>
      <c r="I5" s="5"/>
      <c r="J5" s="5"/>
      <c r="K5" s="5"/>
    </row>
    <row r="6" spans="1:11" x14ac:dyDescent="0.2">
      <c r="A6" s="40" t="s">
        <v>3</v>
      </c>
      <c r="B6" s="56">
        <v>0</v>
      </c>
      <c r="C6" s="56">
        <v>0</v>
      </c>
      <c r="D6" s="56">
        <v>0</v>
      </c>
      <c r="E6" s="68">
        <v>0</v>
      </c>
      <c r="F6" s="56">
        <v>0</v>
      </c>
      <c r="G6" s="5"/>
      <c r="H6" s="5"/>
      <c r="I6" s="5"/>
      <c r="J6" s="5"/>
      <c r="K6" s="5"/>
    </row>
    <row r="7" spans="1:11" x14ac:dyDescent="0.2">
      <c r="A7" s="40" t="s">
        <v>4</v>
      </c>
      <c r="B7" s="57">
        <v>0</v>
      </c>
      <c r="C7" s="57">
        <v>0</v>
      </c>
      <c r="D7" s="57">
        <v>0</v>
      </c>
      <c r="E7" s="69">
        <v>0</v>
      </c>
      <c r="F7" s="57">
        <v>0</v>
      </c>
      <c r="G7" s="5"/>
      <c r="H7" s="5"/>
      <c r="I7" s="5"/>
      <c r="J7" s="5"/>
      <c r="K7" s="5"/>
    </row>
    <row r="8" spans="1:11" x14ac:dyDescent="0.2">
      <c r="A8" s="40" t="s">
        <v>5</v>
      </c>
      <c r="B8" s="57">
        <v>0</v>
      </c>
      <c r="C8" s="57">
        <v>0</v>
      </c>
      <c r="D8" s="57">
        <v>0</v>
      </c>
      <c r="E8" s="69">
        <v>0</v>
      </c>
      <c r="F8" s="57">
        <v>0</v>
      </c>
    </row>
    <row r="9" spans="1:11" x14ac:dyDescent="0.2">
      <c r="A9" s="40" t="s">
        <v>6</v>
      </c>
      <c r="B9" s="57">
        <v>0</v>
      </c>
      <c r="C9" s="57">
        <v>0</v>
      </c>
      <c r="D9" s="57">
        <v>0</v>
      </c>
      <c r="E9" s="69">
        <v>0</v>
      </c>
      <c r="F9" s="57">
        <v>0</v>
      </c>
    </row>
    <row r="10" spans="1:11" x14ac:dyDescent="0.2">
      <c r="A10" s="40" t="s">
        <v>7</v>
      </c>
      <c r="B10" s="57">
        <v>0</v>
      </c>
      <c r="C10" s="57">
        <v>0</v>
      </c>
      <c r="D10" s="57">
        <v>0</v>
      </c>
      <c r="E10" s="69">
        <v>0</v>
      </c>
      <c r="F10" s="57">
        <v>0</v>
      </c>
    </row>
    <row r="11" spans="1:11" x14ac:dyDescent="0.2">
      <c r="A11" s="40" t="s">
        <v>8</v>
      </c>
      <c r="B11" s="57">
        <v>0</v>
      </c>
      <c r="C11" s="57">
        <v>0</v>
      </c>
      <c r="D11" s="57">
        <v>0</v>
      </c>
      <c r="E11" s="69">
        <v>0</v>
      </c>
      <c r="F11" s="57">
        <v>0</v>
      </c>
    </row>
    <row r="12" spans="1:11" x14ac:dyDescent="0.2">
      <c r="A12" s="40" t="s">
        <v>9</v>
      </c>
      <c r="B12" s="57">
        <v>0</v>
      </c>
      <c r="C12" s="57">
        <v>0</v>
      </c>
      <c r="D12" s="57">
        <v>0</v>
      </c>
      <c r="E12" s="69">
        <v>0</v>
      </c>
      <c r="F12" s="57">
        <v>0</v>
      </c>
    </row>
    <row r="13" spans="1:11" x14ac:dyDescent="0.2">
      <c r="A13" s="40" t="s">
        <v>10</v>
      </c>
      <c r="B13" s="57">
        <v>0</v>
      </c>
      <c r="C13" s="57">
        <v>0</v>
      </c>
      <c r="D13" s="57">
        <v>0</v>
      </c>
      <c r="E13" s="69">
        <v>0</v>
      </c>
      <c r="F13" s="57">
        <v>0</v>
      </c>
    </row>
    <row r="14" spans="1:11" x14ac:dyDescent="0.2">
      <c r="A14" s="40" t="s">
        <v>11</v>
      </c>
      <c r="B14" s="57">
        <v>0</v>
      </c>
      <c r="C14" s="57">
        <v>0</v>
      </c>
      <c r="D14" s="57">
        <v>0</v>
      </c>
      <c r="E14" s="69">
        <v>0</v>
      </c>
      <c r="F14" s="57">
        <v>0</v>
      </c>
    </row>
    <row r="15" spans="1:11" x14ac:dyDescent="0.2">
      <c r="A15" s="40" t="s">
        <v>12</v>
      </c>
      <c r="B15" s="57">
        <v>0</v>
      </c>
      <c r="C15" s="57">
        <v>0</v>
      </c>
      <c r="D15" s="57">
        <v>0</v>
      </c>
      <c r="E15" s="69">
        <v>0</v>
      </c>
      <c r="F15" s="57">
        <v>0</v>
      </c>
    </row>
    <row r="16" spans="1:11" x14ac:dyDescent="0.2">
      <c r="A16" s="40" t="s">
        <v>13</v>
      </c>
      <c r="B16" s="58">
        <v>0</v>
      </c>
      <c r="C16" s="58">
        <v>0</v>
      </c>
      <c r="D16" s="58">
        <v>0</v>
      </c>
      <c r="E16" s="70">
        <v>0</v>
      </c>
      <c r="F16" s="58">
        <v>0</v>
      </c>
    </row>
    <row r="17" spans="1:8" x14ac:dyDescent="0.2">
      <c r="A17" s="47" t="s">
        <v>28</v>
      </c>
      <c r="B17" s="46">
        <f>SUM(B6:B16)</f>
        <v>0</v>
      </c>
      <c r="C17" s="72">
        <f t="shared" ref="C17:D17" si="0">SUM(C6:C16)</f>
        <v>0</v>
      </c>
      <c r="D17" s="72">
        <f t="shared" si="0"/>
        <v>0</v>
      </c>
      <c r="E17" s="46">
        <f t="shared" ref="E17:F17" si="1">SUM(E6:E16)</f>
        <v>0</v>
      </c>
      <c r="F17" s="18">
        <f t="shared" si="1"/>
        <v>0</v>
      </c>
    </row>
    <row r="18" spans="1:8" x14ac:dyDescent="0.2">
      <c r="A18" s="1"/>
    </row>
    <row r="19" spans="1:8" x14ac:dyDescent="0.2">
      <c r="D19" s="5"/>
      <c r="E19" s="5"/>
      <c r="F19" s="5"/>
    </row>
    <row r="20" spans="1:8" x14ac:dyDescent="0.2">
      <c r="D20" s="5"/>
      <c r="E20" s="5"/>
      <c r="F20" s="5"/>
      <c r="G20" s="5"/>
      <c r="H20" s="5"/>
    </row>
    <row r="21" spans="1:8" x14ac:dyDescent="0.2">
      <c r="D21" s="5"/>
      <c r="E21" s="73"/>
      <c r="F21" s="73"/>
      <c r="G21" s="74"/>
      <c r="H21" s="5"/>
    </row>
    <row r="22" spans="1:8" x14ac:dyDescent="0.2">
      <c r="D22" s="5"/>
      <c r="E22" s="73"/>
      <c r="F22" s="5"/>
      <c r="G22" s="5"/>
      <c r="H22" s="5"/>
    </row>
    <row r="23" spans="1:8" x14ac:dyDescent="0.2">
      <c r="D23" s="5"/>
      <c r="E23" s="5"/>
      <c r="F23" s="5"/>
      <c r="G23" s="5"/>
      <c r="H23" s="5"/>
    </row>
    <row r="24" spans="1:8" x14ac:dyDescent="0.2">
      <c r="D24" s="5"/>
      <c r="E24" s="5"/>
      <c r="F24" s="5"/>
      <c r="G24" s="5"/>
      <c r="H24" s="5"/>
    </row>
    <row r="25" spans="1:8" x14ac:dyDescent="0.2">
      <c r="D25" s="5"/>
      <c r="E25" s="5"/>
      <c r="F25" s="5"/>
      <c r="G25" s="5"/>
      <c r="H25" s="5"/>
    </row>
    <row r="26" spans="1:8" x14ac:dyDescent="0.2">
      <c r="D26" s="5"/>
      <c r="E26" s="5"/>
      <c r="F26" s="5"/>
      <c r="G26" s="5"/>
      <c r="H26" s="5"/>
    </row>
  </sheetData>
  <sheetProtection algorithmName="SHA-512" hashValue="vRp2LFWtCBEtEBeHDVqZirgDDqaSis7HiVAkV4fDMmWhoJ+dR6cl/m7LSCM34MiQH1xZZtbtUL/DcH6oGiBlew==" saltValue="snC53SYIP7Fuxq1CzmCseg==" spinCount="100000" sheet="1" formatCells="0" formatColumns="0" formatRows="0"/>
  <mergeCells count="2">
    <mergeCell ref="A4:A5"/>
    <mergeCell ref="B4:D4"/>
  </mergeCell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5"/>
  <sheetViews>
    <sheetView zoomScale="130" zoomScaleNormal="130" zoomScalePageLayoutView="130" workbookViewId="0">
      <selection activeCell="I9" sqref="I9"/>
    </sheetView>
  </sheetViews>
  <sheetFormatPr baseColWidth="10" defaultRowHeight="16" x14ac:dyDescent="0.2"/>
  <cols>
    <col min="1" max="1" width="53.6640625" customWidth="1"/>
    <col min="2" max="2" width="16.6640625" customWidth="1"/>
    <col min="3" max="3" width="13.6640625" customWidth="1"/>
    <col min="4" max="8" width="13.5" customWidth="1"/>
    <col min="10" max="10" width="16.6640625" bestFit="1" customWidth="1"/>
  </cols>
  <sheetData>
    <row r="2" spans="1:12" x14ac:dyDescent="0.2">
      <c r="A2" s="1" t="s">
        <v>15</v>
      </c>
      <c r="B2" s="1"/>
      <c r="C2" s="1"/>
      <c r="I2" s="6"/>
      <c r="J2" s="6"/>
      <c r="K2" s="6"/>
      <c r="L2" s="6"/>
    </row>
    <row r="3" spans="1:12" x14ac:dyDescent="0.2">
      <c r="A3" s="1"/>
      <c r="B3" s="1"/>
      <c r="C3" s="1"/>
      <c r="I3" s="6"/>
      <c r="J3" s="6"/>
      <c r="K3" s="6"/>
      <c r="L3" s="6"/>
    </row>
    <row r="4" spans="1:12" ht="33" customHeight="1" x14ac:dyDescent="0.2">
      <c r="A4" s="127" t="s">
        <v>16</v>
      </c>
      <c r="B4" s="128"/>
      <c r="C4" s="55" t="s">
        <v>81</v>
      </c>
      <c r="D4" s="54" t="s">
        <v>21</v>
      </c>
      <c r="E4" s="54" t="s">
        <v>22</v>
      </c>
      <c r="F4" s="54" t="s">
        <v>23</v>
      </c>
      <c r="G4" s="54" t="s">
        <v>24</v>
      </c>
      <c r="H4" s="54" t="s">
        <v>25</v>
      </c>
      <c r="I4" s="5"/>
      <c r="J4" s="5"/>
      <c r="K4" s="5"/>
      <c r="L4" s="6"/>
    </row>
    <row r="5" spans="1:12" ht="24" customHeight="1" x14ac:dyDescent="0.2">
      <c r="A5" s="123" t="s">
        <v>19</v>
      </c>
      <c r="B5" s="21" t="s">
        <v>432</v>
      </c>
      <c r="C5" s="15" t="s">
        <v>84</v>
      </c>
      <c r="D5" s="59">
        <v>0</v>
      </c>
      <c r="E5" s="59">
        <v>0</v>
      </c>
      <c r="F5" s="59">
        <v>0</v>
      </c>
      <c r="G5" s="59">
        <v>0</v>
      </c>
      <c r="H5" s="59">
        <v>0</v>
      </c>
      <c r="I5" s="5"/>
      <c r="J5" s="5"/>
      <c r="K5" s="5"/>
      <c r="L5" s="6"/>
    </row>
    <row r="6" spans="1:12" ht="24" customHeight="1" x14ac:dyDescent="0.2">
      <c r="A6" s="124"/>
      <c r="B6" s="22" t="s">
        <v>1</v>
      </c>
      <c r="C6" s="16" t="s">
        <v>85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6"/>
      <c r="J6" s="6"/>
      <c r="K6" s="6"/>
      <c r="L6" s="6"/>
    </row>
    <row r="7" spans="1:12" ht="39" customHeight="1" x14ac:dyDescent="0.2">
      <c r="A7" s="125" t="s">
        <v>77</v>
      </c>
      <c r="B7" s="126"/>
      <c r="C7" s="17" t="s">
        <v>86</v>
      </c>
      <c r="D7" s="59"/>
      <c r="E7" s="59"/>
      <c r="F7" s="59"/>
      <c r="G7" s="59"/>
      <c r="H7" s="59"/>
      <c r="I7" s="6"/>
      <c r="J7" s="6"/>
      <c r="K7" s="6"/>
      <c r="L7" s="6"/>
    </row>
    <row r="8" spans="1:12" ht="27" customHeight="1" x14ac:dyDescent="0.2">
      <c r="A8" s="123" t="s">
        <v>79</v>
      </c>
      <c r="B8" s="22" t="s">
        <v>432</v>
      </c>
      <c r="C8" s="16" t="s">
        <v>82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6"/>
      <c r="J8" s="6"/>
      <c r="K8" s="6"/>
      <c r="L8" s="6"/>
    </row>
    <row r="9" spans="1:12" ht="27" customHeight="1" x14ac:dyDescent="0.2">
      <c r="A9" s="124"/>
      <c r="B9" s="22" t="s">
        <v>1</v>
      </c>
      <c r="C9" s="16" t="s">
        <v>83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6"/>
      <c r="J9" s="6"/>
      <c r="K9" s="6"/>
      <c r="L9" s="6"/>
    </row>
    <row r="10" spans="1:12" x14ac:dyDescent="0.2">
      <c r="A10" s="129" t="s">
        <v>433</v>
      </c>
      <c r="B10" s="129"/>
      <c r="C10" s="27"/>
      <c r="D10" s="19" t="str">
        <f t="shared" ref="D10:G10" si="0">IF(SUM(D5:D9)=0,"-",IF(D7=0,D5*D8/100,D5*(100-D7)*D8/10000))</f>
        <v>-</v>
      </c>
      <c r="E10" s="19" t="str">
        <f t="shared" si="0"/>
        <v>-</v>
      </c>
      <c r="F10" s="19" t="str">
        <f t="shared" si="0"/>
        <v>-</v>
      </c>
      <c r="G10" s="19" t="str">
        <f t="shared" si="0"/>
        <v>-</v>
      </c>
      <c r="H10" s="19" t="str">
        <f>IF(SUM(H5:H9)=0,"-",IF(H7=0,H5*H8/100,H5*(100-H7)*H8/10000))</f>
        <v>-</v>
      </c>
      <c r="I10" s="6"/>
      <c r="J10" s="6"/>
      <c r="K10" s="6"/>
      <c r="L10" s="6"/>
    </row>
    <row r="11" spans="1:12" x14ac:dyDescent="0.2">
      <c r="A11" s="129" t="s">
        <v>78</v>
      </c>
      <c r="B11" s="129"/>
      <c r="C11" s="27"/>
      <c r="D11" s="19" t="str">
        <f>IF(SUM(D5:D9)=0,"-",IF(D7=0,D6*D9/100,D6*(100-D7)*D9/10000))</f>
        <v>-</v>
      </c>
      <c r="E11" s="19" t="str">
        <f t="shared" ref="E11:H11" si="1">IF(SUM(E5:E9)=0,"-",IF(E7=0,E6*E9/100,E6*(100-E7)*E9/10000))</f>
        <v>-</v>
      </c>
      <c r="F11" s="19" t="str">
        <f t="shared" si="1"/>
        <v>-</v>
      </c>
      <c r="G11" s="19" t="str">
        <f t="shared" si="1"/>
        <v>-</v>
      </c>
      <c r="H11" s="19" t="str">
        <f t="shared" si="1"/>
        <v>-</v>
      </c>
      <c r="I11" s="6"/>
      <c r="J11" s="6"/>
      <c r="K11" s="6"/>
      <c r="L11" s="6"/>
    </row>
    <row r="12" spans="1:12" x14ac:dyDescent="0.2">
      <c r="A12" s="10"/>
      <c r="B12" s="10"/>
      <c r="C12" s="10"/>
      <c r="D12" s="6"/>
      <c r="E12" s="6"/>
      <c r="F12" s="6"/>
      <c r="G12" s="6"/>
      <c r="H12" s="6"/>
      <c r="I12" s="6"/>
      <c r="J12" s="6"/>
      <c r="K12" s="6"/>
      <c r="L12" s="6"/>
    </row>
    <row r="15" spans="1:12" ht="56" x14ac:dyDescent="0.2">
      <c r="A15" s="2" t="s">
        <v>20</v>
      </c>
    </row>
  </sheetData>
  <sheetProtection algorithmName="SHA-512" hashValue="7IElrDKC5E3gZORBLUHz3E5c3j6Vd7sr9/BbKjPpAA9BYyAW+JRj6kDuxu371kBPoeG24LqWofL4FUBbU4fzig==" saltValue="38Un5CdKn5c/f+EXMJlyVg==" spinCount="100000" sheet="1" objects="1" scenarios="1"/>
  <mergeCells count="6">
    <mergeCell ref="A5:A6"/>
    <mergeCell ref="A8:A9"/>
    <mergeCell ref="A7:B7"/>
    <mergeCell ref="A4:B4"/>
    <mergeCell ref="A11:B11"/>
    <mergeCell ref="A10:B10"/>
  </mergeCell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6"/>
  <sheetViews>
    <sheetView zoomScale="160" zoomScaleNormal="160" zoomScalePageLayoutView="160" workbookViewId="0">
      <selection activeCell="C7" sqref="C7"/>
    </sheetView>
  </sheetViews>
  <sheetFormatPr baseColWidth="10" defaultRowHeight="16" x14ac:dyDescent="0.2"/>
  <cols>
    <col min="1" max="1" width="31.33203125" bestFit="1" customWidth="1"/>
    <col min="2" max="2" width="13.83203125" customWidth="1"/>
    <col min="3" max="3" width="20.5" bestFit="1" customWidth="1"/>
    <col min="4" max="4" width="21.1640625" bestFit="1" customWidth="1"/>
    <col min="5" max="5" width="7.1640625" customWidth="1"/>
    <col min="6" max="6" width="6.33203125" customWidth="1"/>
    <col min="7" max="7" width="21.1640625" bestFit="1" customWidth="1"/>
    <col min="8" max="8" width="5.33203125" bestFit="1" customWidth="1"/>
    <col min="9" max="9" width="6.5" customWidth="1"/>
    <col min="10" max="10" width="20.5" bestFit="1" customWidth="1"/>
    <col min="11" max="11" width="21.1640625" bestFit="1" customWidth="1"/>
    <col min="12" max="12" width="5.33203125" bestFit="1" customWidth="1"/>
    <col min="13" max="13" width="6.33203125" customWidth="1"/>
  </cols>
  <sheetData>
    <row r="2" spans="1:13" x14ac:dyDescent="0.2">
      <c r="A2" t="s">
        <v>430</v>
      </c>
    </row>
    <row r="4" spans="1:13" ht="32" x14ac:dyDescent="0.2">
      <c r="A4" s="24"/>
      <c r="B4" s="55" t="s">
        <v>81</v>
      </c>
      <c r="C4" s="21" t="s">
        <v>499</v>
      </c>
      <c r="D4" s="21" t="s">
        <v>500</v>
      </c>
      <c r="E4" s="19" t="s">
        <v>28</v>
      </c>
      <c r="F4" s="19" t="s">
        <v>80</v>
      </c>
    </row>
    <row r="5" spans="1:13" x14ac:dyDescent="0.2">
      <c r="A5" s="21" t="s">
        <v>26</v>
      </c>
      <c r="B5" s="20" t="s">
        <v>87</v>
      </c>
      <c r="C5" s="60">
        <v>0</v>
      </c>
      <c r="D5" s="60">
        <v>0</v>
      </c>
      <c r="E5" s="19">
        <f>SUM(C5:D5)</f>
        <v>0</v>
      </c>
      <c r="F5" s="19" t="str">
        <f>IF(E5=0,IF(E6=0,"-",F6),C5/E5)</f>
        <v>-</v>
      </c>
    </row>
    <row r="6" spans="1:13" x14ac:dyDescent="0.2">
      <c r="A6" s="21" t="s">
        <v>27</v>
      </c>
      <c r="B6" s="20" t="s">
        <v>88</v>
      </c>
      <c r="C6" s="60">
        <v>0</v>
      </c>
      <c r="D6" s="60">
        <v>0</v>
      </c>
      <c r="E6" s="19">
        <f>SUM(C6:D6)</f>
        <v>0</v>
      </c>
      <c r="F6" s="19" t="str">
        <f>IF(E6=0,IF(E5=0,"-",F5),C6/E6)</f>
        <v>-</v>
      </c>
    </row>
    <row r="7" spans="1:13" x14ac:dyDescent="0.2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A8" s="5" t="s">
        <v>561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3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3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3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3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">
      <c r="A22" s="6"/>
      <c r="B22" s="6"/>
      <c r="C22" s="6"/>
      <c r="D22" s="6"/>
      <c r="E22" s="6"/>
      <c r="F22" s="6"/>
      <c r="J22" s="6"/>
      <c r="K22" s="6"/>
    </row>
    <row r="23" spans="1:11" x14ac:dyDescent="0.2">
      <c r="A23" s="6"/>
      <c r="B23" s="6"/>
      <c r="C23" s="6"/>
      <c r="D23" s="6"/>
      <c r="E23" s="6"/>
      <c r="F23" s="6"/>
      <c r="J23" s="6"/>
      <c r="K23" s="6"/>
    </row>
    <row r="24" spans="1:11" x14ac:dyDescent="0.2">
      <c r="A24" s="6"/>
      <c r="B24" s="6"/>
      <c r="C24" s="6"/>
      <c r="D24" s="6"/>
      <c r="E24" s="6"/>
      <c r="F24" s="6"/>
      <c r="J24" s="6"/>
      <c r="K24" s="6"/>
    </row>
    <row r="25" spans="1:11" x14ac:dyDescent="0.2">
      <c r="A25" s="6"/>
      <c r="B25" s="6"/>
      <c r="C25" s="6"/>
      <c r="D25" s="6"/>
      <c r="E25" s="6"/>
      <c r="F25" s="6"/>
      <c r="J25" s="6"/>
      <c r="K25" s="6"/>
    </row>
    <row r="26" spans="1:1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</sheetData>
  <sheetProtection algorithmName="SHA-512" hashValue="Iy1PloNm3UupOZgS1/94QBQKDtwZi5bnIid/57osT+tWEYuQNl5ivZ5EC/biTCtYAwNPWCD3typJ1XhsfeB0/Q==" saltValue="GwXbSrh4icbkDix6nB5pYw==" spinCount="100000" sheet="1" objects="1" scenarios="1"/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5"/>
  <sheetViews>
    <sheetView workbookViewId="0">
      <selection activeCell="I8" sqref="I8"/>
    </sheetView>
  </sheetViews>
  <sheetFormatPr baseColWidth="10" defaultRowHeight="16" x14ac:dyDescent="0.2"/>
  <cols>
    <col min="1" max="1" width="26.6640625" bestFit="1" customWidth="1"/>
    <col min="2" max="2" width="19.1640625" style="12" customWidth="1"/>
    <col min="3" max="3" width="10.6640625" bestFit="1" customWidth="1"/>
    <col min="4" max="4" width="17.1640625" bestFit="1" customWidth="1"/>
    <col min="5" max="5" width="12.1640625" bestFit="1" customWidth="1"/>
    <col min="6" max="6" width="10.6640625" bestFit="1" customWidth="1"/>
    <col min="7" max="7" width="17.1640625" bestFit="1" customWidth="1"/>
    <col min="8" max="8" width="12.1640625" bestFit="1" customWidth="1"/>
    <col min="9" max="9" width="10.6640625" bestFit="1" customWidth="1"/>
    <col min="10" max="10" width="17.1640625" bestFit="1" customWidth="1"/>
    <col min="11" max="11" width="9.83203125" bestFit="1" customWidth="1"/>
  </cols>
  <sheetData>
    <row r="2" spans="1:11" x14ac:dyDescent="0.2">
      <c r="A2" t="s">
        <v>431</v>
      </c>
    </row>
    <row r="3" spans="1:11" x14ac:dyDescent="0.2">
      <c r="A3" s="6"/>
    </row>
    <row r="4" spans="1:11" x14ac:dyDescent="0.2">
      <c r="A4" s="134"/>
      <c r="B4" s="132" t="s">
        <v>90</v>
      </c>
      <c r="C4" s="127" t="s">
        <v>29</v>
      </c>
      <c r="D4" s="130"/>
      <c r="E4" s="130"/>
      <c r="F4" s="127" t="s">
        <v>30</v>
      </c>
      <c r="G4" s="130"/>
      <c r="H4" s="130"/>
      <c r="I4" s="131" t="s">
        <v>31</v>
      </c>
      <c r="J4" s="131"/>
      <c r="K4" s="131"/>
    </row>
    <row r="5" spans="1:11" ht="65" customHeight="1" x14ac:dyDescent="0.2">
      <c r="A5" s="135"/>
      <c r="B5" s="133"/>
      <c r="C5" s="25" t="s">
        <v>33</v>
      </c>
      <c r="D5" s="25" t="s">
        <v>32</v>
      </c>
      <c r="E5" s="19" t="s">
        <v>89</v>
      </c>
      <c r="F5" s="25" t="s">
        <v>33</v>
      </c>
      <c r="G5" s="25" t="s">
        <v>32</v>
      </c>
      <c r="H5" s="19" t="s">
        <v>89</v>
      </c>
      <c r="I5" s="25" t="s">
        <v>33</v>
      </c>
      <c r="J5" s="25" t="s">
        <v>32</v>
      </c>
      <c r="K5" s="19" t="s">
        <v>89</v>
      </c>
    </row>
    <row r="6" spans="1:11" ht="32" customHeight="1" x14ac:dyDescent="0.2">
      <c r="A6" s="21" t="s">
        <v>26</v>
      </c>
      <c r="B6" s="26" t="s">
        <v>87</v>
      </c>
      <c r="C6" s="60">
        <v>0</v>
      </c>
      <c r="D6" s="60">
        <v>0</v>
      </c>
      <c r="E6" s="19" t="str">
        <f>IF(SUM(C6:D6)=0,IF(SUM(C7:D7)=0,"-",E7),D6/C6)</f>
        <v>-</v>
      </c>
      <c r="F6" s="60">
        <v>0</v>
      </c>
      <c r="G6" s="60">
        <v>0</v>
      </c>
      <c r="H6" s="19" t="str">
        <f>IF(SUM(F6:G6)=0,IF(SUM(F7:G7)=0,"-",H7),G6/F6)</f>
        <v>-</v>
      </c>
      <c r="I6" s="60">
        <v>0</v>
      </c>
      <c r="J6" s="60">
        <v>0</v>
      </c>
      <c r="K6" s="19" t="str">
        <f>IF(SUM(I6:J6)=0,IF(SUM(I7:J7)=0,"-",K7),J6/I6)</f>
        <v>-</v>
      </c>
    </row>
    <row r="7" spans="1:11" x14ac:dyDescent="0.2">
      <c r="A7" s="21" t="s">
        <v>27</v>
      </c>
      <c r="B7" s="26" t="s">
        <v>88</v>
      </c>
      <c r="C7" s="60">
        <v>0</v>
      </c>
      <c r="D7" s="60">
        <v>0</v>
      </c>
      <c r="E7" s="19" t="str">
        <f>IF(SUM(C7:D7)=0,IF(SUM(C6:D6)=0,"-",E6),D7/C7)</f>
        <v>-</v>
      </c>
      <c r="F7" s="60">
        <v>0</v>
      </c>
      <c r="G7" s="60">
        <v>0</v>
      </c>
      <c r="H7" s="19" t="str">
        <f>IF(SUM(F7:G7)=0,IF(SUM(F6:G6)=0,"-",H6),G7/F7)</f>
        <v>-</v>
      </c>
      <c r="I7" s="60">
        <v>0</v>
      </c>
      <c r="J7" s="60">
        <v>0</v>
      </c>
      <c r="K7" s="19" t="str">
        <f>IF(SUM(I7:J7)=0,IF(SUM(I6:J6)=0,"-",K6),J7/I7)</f>
        <v>-</v>
      </c>
    </row>
    <row r="8" spans="1:11" x14ac:dyDescent="0.2">
      <c r="A8" s="5"/>
      <c r="B8" s="13"/>
      <c r="C8" s="6"/>
      <c r="D8" s="6"/>
      <c r="E8" s="6"/>
      <c r="F8" s="6"/>
      <c r="G8" s="6"/>
      <c r="H8" s="6"/>
      <c r="I8" s="6"/>
      <c r="J8" s="6"/>
      <c r="K8" s="6"/>
    </row>
    <row r="25" spans="1:6" x14ac:dyDescent="0.2">
      <c r="A25" s="6"/>
      <c r="B25" s="11"/>
      <c r="C25" s="6"/>
      <c r="D25" s="6"/>
      <c r="E25" s="6"/>
      <c r="F25" s="6"/>
    </row>
    <row r="26" spans="1:6" x14ac:dyDescent="0.2">
      <c r="A26" s="6"/>
      <c r="B26" s="11"/>
      <c r="C26" s="6"/>
      <c r="D26" s="6"/>
      <c r="E26" s="6"/>
      <c r="F26" s="6"/>
    </row>
    <row r="27" spans="1:6" x14ac:dyDescent="0.2">
      <c r="A27" s="6"/>
      <c r="B27" s="11"/>
      <c r="C27" s="6"/>
      <c r="D27" s="6"/>
      <c r="E27" s="6"/>
      <c r="F27" s="6"/>
    </row>
    <row r="28" spans="1:6" x14ac:dyDescent="0.2">
      <c r="A28" s="6"/>
      <c r="B28" s="11"/>
      <c r="C28" s="6"/>
      <c r="D28" s="6"/>
      <c r="E28" s="6"/>
      <c r="F28" s="6"/>
    </row>
    <row r="29" spans="1:6" x14ac:dyDescent="0.2">
      <c r="A29" s="6"/>
      <c r="B29" s="11"/>
      <c r="C29" s="6"/>
      <c r="D29" s="6"/>
      <c r="E29" s="6"/>
      <c r="F29" s="6"/>
    </row>
    <row r="30" spans="1:6" x14ac:dyDescent="0.2">
      <c r="A30" s="6"/>
      <c r="B30" s="11"/>
      <c r="C30" s="6"/>
      <c r="D30" s="6"/>
      <c r="E30" s="6"/>
      <c r="F30" s="6"/>
    </row>
    <row r="31" spans="1:6" x14ac:dyDescent="0.2">
      <c r="A31" s="6"/>
      <c r="B31" s="11"/>
      <c r="C31" s="6"/>
      <c r="D31" s="6"/>
      <c r="E31" s="6"/>
      <c r="F31" s="6"/>
    </row>
    <row r="32" spans="1:6" x14ac:dyDescent="0.2">
      <c r="A32" s="6"/>
      <c r="B32" s="11"/>
      <c r="C32" s="6"/>
      <c r="D32" s="6"/>
      <c r="E32" s="6"/>
      <c r="F32" s="6"/>
    </row>
    <row r="33" spans="1:6" x14ac:dyDescent="0.2">
      <c r="A33" s="6"/>
      <c r="B33" s="11"/>
      <c r="C33" s="11"/>
      <c r="D33" s="11"/>
      <c r="E33" s="6"/>
      <c r="F33" s="6"/>
    </row>
    <row r="34" spans="1:6" x14ac:dyDescent="0.2">
      <c r="A34" s="6"/>
      <c r="B34" s="11"/>
      <c r="C34" s="6"/>
      <c r="D34" s="6"/>
      <c r="E34" s="6"/>
      <c r="F34" s="6"/>
    </row>
    <row r="35" spans="1:6" x14ac:dyDescent="0.2">
      <c r="A35" s="6"/>
      <c r="B35" s="11"/>
      <c r="C35" s="6"/>
      <c r="D35" s="6"/>
      <c r="E35" s="6"/>
      <c r="F35" s="6"/>
    </row>
    <row r="36" spans="1:6" x14ac:dyDescent="0.2">
      <c r="A36" s="6"/>
      <c r="B36" s="11"/>
      <c r="C36" s="6"/>
      <c r="D36" s="6"/>
      <c r="E36" s="6"/>
      <c r="F36" s="6"/>
    </row>
    <row r="37" spans="1:6" x14ac:dyDescent="0.2">
      <c r="A37" s="6"/>
      <c r="B37" s="11"/>
      <c r="C37" s="6"/>
      <c r="D37" s="6"/>
      <c r="E37" s="6"/>
      <c r="F37" s="6"/>
    </row>
    <row r="38" spans="1:6" x14ac:dyDescent="0.2">
      <c r="A38" s="6"/>
      <c r="B38" s="11"/>
      <c r="C38" s="6"/>
      <c r="D38" s="6"/>
      <c r="E38" s="6"/>
      <c r="F38" s="6"/>
    </row>
    <row r="39" spans="1:6" x14ac:dyDescent="0.2">
      <c r="A39" s="6"/>
      <c r="B39" s="11"/>
      <c r="C39" s="6"/>
      <c r="D39" s="6"/>
      <c r="E39" s="6"/>
      <c r="F39" s="6"/>
    </row>
    <row r="40" spans="1:6" x14ac:dyDescent="0.2">
      <c r="A40" s="6"/>
      <c r="B40" s="11"/>
      <c r="C40" s="6"/>
      <c r="D40" s="6"/>
      <c r="E40" s="6"/>
      <c r="F40" s="6"/>
    </row>
    <row r="41" spans="1:6" x14ac:dyDescent="0.2">
      <c r="A41" s="6"/>
      <c r="B41" s="11"/>
      <c r="C41" s="6"/>
      <c r="D41" s="6"/>
      <c r="E41" s="6"/>
      <c r="F41" s="6"/>
    </row>
    <row r="42" spans="1:6" x14ac:dyDescent="0.2">
      <c r="A42" s="6"/>
      <c r="B42" s="11"/>
      <c r="C42" s="6"/>
      <c r="D42" s="6"/>
      <c r="E42" s="6"/>
      <c r="F42" s="6"/>
    </row>
    <row r="43" spans="1:6" x14ac:dyDescent="0.2">
      <c r="A43" s="6"/>
      <c r="B43" s="11"/>
      <c r="C43" s="6"/>
      <c r="D43" s="6"/>
      <c r="E43" s="6"/>
      <c r="F43" s="6"/>
    </row>
    <row r="44" spans="1:6" x14ac:dyDescent="0.2">
      <c r="A44" s="6"/>
      <c r="B44" s="11"/>
      <c r="C44" s="6"/>
      <c r="D44" s="6"/>
      <c r="E44" s="6"/>
      <c r="F44" s="6"/>
    </row>
    <row r="45" spans="1:6" x14ac:dyDescent="0.2">
      <c r="A45" s="6"/>
      <c r="B45" s="11"/>
      <c r="C45" s="6"/>
      <c r="D45" s="6"/>
      <c r="E45" s="6"/>
      <c r="F45" s="6"/>
    </row>
  </sheetData>
  <sheetProtection algorithmName="SHA-512" hashValue="jBiuKuPiiEwlmhfSYRkel8yzCDcmR321RkehQ/ygJekSJtenFOeADkTGm8es7beEMPAvaLtItqlNf+93OnJoKQ==" saltValue="9HRuZ1FPna79xnQ9eEvJ5w==" spinCount="100000" sheet="1" objects="1" scenarios="1"/>
  <mergeCells count="5">
    <mergeCell ref="C4:E4"/>
    <mergeCell ref="F4:H4"/>
    <mergeCell ref="I4:K4"/>
    <mergeCell ref="B4:B5"/>
    <mergeCell ref="A4:A5"/>
  </mergeCells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27"/>
  <sheetViews>
    <sheetView workbookViewId="0">
      <selection activeCell="B16" sqref="B16"/>
    </sheetView>
  </sheetViews>
  <sheetFormatPr baseColWidth="10" defaultRowHeight="16" x14ac:dyDescent="0.2"/>
  <cols>
    <col min="1" max="1" width="39.83203125" customWidth="1"/>
    <col min="2" max="3" width="39.1640625" customWidth="1"/>
    <col min="4" max="4" width="31.33203125" bestFit="1" customWidth="1"/>
  </cols>
  <sheetData>
    <row r="3" spans="1:4" x14ac:dyDescent="0.2">
      <c r="A3" t="s">
        <v>34</v>
      </c>
    </row>
    <row r="4" spans="1:4" x14ac:dyDescent="0.2">
      <c r="A4" s="36"/>
    </row>
    <row r="5" spans="1:4" ht="26" customHeight="1" x14ac:dyDescent="0.2">
      <c r="A5" s="137" t="s">
        <v>18</v>
      </c>
      <c r="B5" s="137" t="s">
        <v>91</v>
      </c>
      <c r="C5" s="137" t="s">
        <v>92</v>
      </c>
      <c r="D5" s="136" t="s">
        <v>81</v>
      </c>
    </row>
    <row r="6" spans="1:4" x14ac:dyDescent="0.2">
      <c r="A6" s="137"/>
      <c r="B6" s="137"/>
      <c r="C6" s="137"/>
      <c r="D6" s="136"/>
    </row>
    <row r="7" spans="1:4" ht="29" x14ac:dyDescent="0.2">
      <c r="A7" s="28" t="s">
        <v>67</v>
      </c>
      <c r="B7" s="61">
        <v>0</v>
      </c>
      <c r="C7" s="61">
        <v>0</v>
      </c>
      <c r="D7" s="20" t="s">
        <v>94</v>
      </c>
    </row>
    <row r="8" spans="1:4" x14ac:dyDescent="0.2">
      <c r="A8" s="22" t="s">
        <v>17</v>
      </c>
      <c r="B8" s="60">
        <v>0</v>
      </c>
      <c r="C8" s="60">
        <v>0</v>
      </c>
      <c r="D8" s="20" t="s">
        <v>419</v>
      </c>
    </row>
    <row r="9" spans="1:4" ht="28" x14ac:dyDescent="0.2">
      <c r="A9" s="22" t="s">
        <v>93</v>
      </c>
      <c r="B9" s="60">
        <v>0</v>
      </c>
      <c r="C9" s="60">
        <v>0</v>
      </c>
      <c r="D9" s="20" t="s">
        <v>420</v>
      </c>
    </row>
    <row r="10" spans="1:4" ht="28" x14ac:dyDescent="0.2">
      <c r="A10" s="29" t="s">
        <v>113</v>
      </c>
      <c r="B10" s="56">
        <v>0</v>
      </c>
      <c r="C10" s="56">
        <v>0</v>
      </c>
      <c r="D10" s="20" t="s">
        <v>418</v>
      </c>
    </row>
    <row r="11" spans="1:4" x14ac:dyDescent="0.2">
      <c r="A11" s="33" t="s">
        <v>95</v>
      </c>
      <c r="B11" s="34" t="str">
        <f>IF(B10=0,IF(C10=0,"-",(C8/C7)/(C10/100000)),(B8/B7)/(B10/100000))</f>
        <v>-</v>
      </c>
      <c r="C11" s="34" t="str">
        <f>IF(C10=0,IF(B10=0,"-",(B8/B7)/(B10/100000)),(C8/C7)/(C10/100000))</f>
        <v>-</v>
      </c>
      <c r="D11" s="20"/>
    </row>
    <row r="12" spans="1:4" ht="28" x14ac:dyDescent="0.2">
      <c r="A12" s="33" t="s">
        <v>461</v>
      </c>
      <c r="B12" s="34" t="str">
        <f>IF(B9=0,IF(C9=0,"-",((C9)/C8)),((B9)/B8))</f>
        <v>-</v>
      </c>
      <c r="C12" s="34" t="str">
        <f>IF(C9=0,IF(B9=0,"-",((B9)/B8)),((C9)/C8))</f>
        <v>-</v>
      </c>
      <c r="D12" s="20"/>
    </row>
    <row r="13" spans="1:4" x14ac:dyDescent="0.2">
      <c r="A13" s="29"/>
      <c r="B13" s="31"/>
      <c r="C13" s="31"/>
      <c r="D13" s="21"/>
    </row>
    <row r="14" spans="1:4" x14ac:dyDescent="0.2">
      <c r="A14" s="32" t="s">
        <v>96</v>
      </c>
      <c r="B14" s="31"/>
      <c r="C14" s="31"/>
      <c r="D14" s="21"/>
    </row>
    <row r="15" spans="1:4" ht="32" x14ac:dyDescent="0.2">
      <c r="A15" s="30" t="s">
        <v>111</v>
      </c>
      <c r="B15" s="62">
        <v>0</v>
      </c>
      <c r="C15" s="62">
        <v>0</v>
      </c>
      <c r="D15" s="20" t="s">
        <v>421</v>
      </c>
    </row>
    <row r="16" spans="1:4" x14ac:dyDescent="0.2">
      <c r="A16" s="35" t="s">
        <v>97</v>
      </c>
      <c r="B16" s="19" t="str">
        <f>IF(B15=0,IF(B15=0,"-",(C15/C7)/(C10/100000)),(B15/B7)/(B10/100000))</f>
        <v>-</v>
      </c>
      <c r="C16" s="19" t="str">
        <f>IF(C15=0,IF(B15=0,"-",(B15/B7)/(B10/100000)),(C15/C7)/(C10/100000))</f>
        <v>-</v>
      </c>
      <c r="D16" s="20"/>
    </row>
    <row r="17" spans="1:4" x14ac:dyDescent="0.2">
      <c r="A17" s="3"/>
    </row>
    <row r="18" spans="1:4" x14ac:dyDescent="0.2">
      <c r="C18" s="4"/>
      <c r="D18" s="4"/>
    </row>
    <row r="19" spans="1:4" x14ac:dyDescent="0.2">
      <c r="A19" s="14"/>
    </row>
    <row r="20" spans="1:4" x14ac:dyDescent="0.2">
      <c r="A20" s="14"/>
    </row>
    <row r="21" spans="1:4" x14ac:dyDescent="0.2">
      <c r="A21" s="14"/>
    </row>
    <row r="22" spans="1:4" x14ac:dyDescent="0.2">
      <c r="A22" s="14"/>
    </row>
    <row r="23" spans="1:4" x14ac:dyDescent="0.2">
      <c r="A23" s="14"/>
    </row>
    <row r="24" spans="1:4" x14ac:dyDescent="0.2">
      <c r="A24" s="14"/>
    </row>
    <row r="25" spans="1:4" x14ac:dyDescent="0.2">
      <c r="A25" s="14"/>
    </row>
    <row r="26" spans="1:4" x14ac:dyDescent="0.2">
      <c r="A26" s="14"/>
    </row>
    <row r="27" spans="1:4" x14ac:dyDescent="0.2">
      <c r="A27" s="14"/>
    </row>
  </sheetData>
  <sheetProtection algorithmName="SHA-512" hashValue="NaJuhUqaqGFE4iFr83jkZL82C7VRw0wLpejR2RFfl8YIbE3ct4TsxQb0gQMQKiHxg9U2KsPwPo9dPAM6GgpCqA==" saltValue="Vwy8Gi5rnWQqbc3G98lJdQ==" spinCount="100000" sheet="1" objects="1" scenarios="1"/>
  <mergeCells count="4">
    <mergeCell ref="D5:D6"/>
    <mergeCell ref="A5:A6"/>
    <mergeCell ref="B5:B6"/>
    <mergeCell ref="C5:C6"/>
  </mergeCells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24"/>
  <sheetViews>
    <sheetView workbookViewId="0">
      <selection activeCell="G6" sqref="G6"/>
    </sheetView>
  </sheetViews>
  <sheetFormatPr baseColWidth="10" defaultRowHeight="16" x14ac:dyDescent="0.2"/>
  <cols>
    <col min="1" max="1" width="43.1640625" bestFit="1" customWidth="1"/>
    <col min="2" max="2" width="28.6640625" bestFit="1" customWidth="1"/>
    <col min="3" max="3" width="17.5" bestFit="1" customWidth="1"/>
    <col min="4" max="4" width="15.5" bestFit="1" customWidth="1"/>
    <col min="5" max="5" width="23.83203125" bestFit="1" customWidth="1"/>
    <col min="6" max="6" width="17.6640625" bestFit="1" customWidth="1"/>
    <col min="7" max="9" width="12.5" bestFit="1" customWidth="1"/>
  </cols>
  <sheetData>
    <row r="2" spans="1:8" x14ac:dyDescent="0.2">
      <c r="A2" t="s">
        <v>35</v>
      </c>
    </row>
    <row r="4" spans="1:8" x14ac:dyDescent="0.2">
      <c r="A4" s="21"/>
      <c r="B4" s="21" t="s">
        <v>81</v>
      </c>
      <c r="C4" s="21" t="s">
        <v>58</v>
      </c>
      <c r="D4" s="21" t="s">
        <v>59</v>
      </c>
      <c r="E4" s="21" t="s">
        <v>60</v>
      </c>
      <c r="F4" s="21" t="s">
        <v>61</v>
      </c>
      <c r="G4" s="21" t="s">
        <v>62</v>
      </c>
    </row>
    <row r="5" spans="1:8" x14ac:dyDescent="0.2">
      <c r="A5" s="21" t="s">
        <v>36</v>
      </c>
      <c r="B5" s="20" t="s">
        <v>424</v>
      </c>
      <c r="C5" s="60">
        <v>0</v>
      </c>
      <c r="D5" s="60">
        <v>0</v>
      </c>
      <c r="E5" s="60">
        <v>0</v>
      </c>
      <c r="F5" s="60">
        <v>0</v>
      </c>
      <c r="G5" s="60">
        <v>0</v>
      </c>
    </row>
    <row r="6" spans="1:8" ht="30" customHeight="1" x14ac:dyDescent="0.2">
      <c r="A6" s="25" t="s">
        <v>112</v>
      </c>
      <c r="B6" s="20" t="s">
        <v>422</v>
      </c>
      <c r="C6" s="63">
        <v>0</v>
      </c>
      <c r="D6" s="63">
        <v>0</v>
      </c>
      <c r="E6" s="63">
        <v>0</v>
      </c>
      <c r="F6" s="63">
        <v>0</v>
      </c>
      <c r="G6" s="63">
        <v>0</v>
      </c>
    </row>
    <row r="7" spans="1:8" x14ac:dyDescent="0.2">
      <c r="A7" s="19" t="s">
        <v>71</v>
      </c>
      <c r="B7" s="20" t="s">
        <v>418</v>
      </c>
      <c r="C7" s="50" t="str">
        <f>IF(C5+C6=0,"-",100000*SUM(E52:E152)/$B$33)</f>
        <v>-</v>
      </c>
      <c r="D7" s="50" t="str">
        <f>IF(D5+D6=0,"-",100000*SUM(F52:F152)/$B$33)</f>
        <v>-</v>
      </c>
      <c r="E7" s="50" t="str">
        <f>IF(E5+E6=0,"-",100000*SUM(G52:G152)/$B$33)</f>
        <v>-</v>
      </c>
      <c r="F7" s="50" t="str">
        <f>IF(F5+F6=0,"-",100000*SUM(H52:H152)/$B$33)</f>
        <v>-</v>
      </c>
      <c r="G7" s="50" t="str">
        <f>IF(G5+G6=0,"-",100000*SUM(I52:I152)/$B$33)</f>
        <v>-</v>
      </c>
    </row>
    <row r="8" spans="1:8" x14ac:dyDescent="0.2">
      <c r="A8" s="19" t="s">
        <v>97</v>
      </c>
      <c r="B8" s="20" t="s">
        <v>423</v>
      </c>
      <c r="C8" s="50" t="str">
        <f>IF(C5+C6=0,"-",C7/C6)</f>
        <v>-</v>
      </c>
      <c r="D8" s="50" t="str">
        <f>IF(D5+D6=0,"-",D7/D6)</f>
        <v>-</v>
      </c>
      <c r="E8" s="50" t="str">
        <f>IF(E5+E6=0,"-",E7/E6)</f>
        <v>-</v>
      </c>
      <c r="F8" s="50" t="str">
        <f>IF(F5+F6=0,"-",F7/F6)</f>
        <v>-</v>
      </c>
      <c r="G8" s="50" t="str">
        <f>IF(G5+G6=0,"-",G7/G6)</f>
        <v>-</v>
      </c>
    </row>
    <row r="11" spans="1:8" x14ac:dyDescent="0.2">
      <c r="A11" s="23" t="s">
        <v>37</v>
      </c>
      <c r="B11" s="38" t="s">
        <v>56</v>
      </c>
      <c r="F11" s="8"/>
      <c r="G11" s="8"/>
      <c r="H11" s="8"/>
    </row>
    <row r="12" spans="1:8" x14ac:dyDescent="0.2">
      <c r="A12" s="39" t="s">
        <v>38</v>
      </c>
      <c r="B12" s="56">
        <v>0</v>
      </c>
      <c r="C12" s="1"/>
      <c r="E12" s="7"/>
      <c r="F12" s="9"/>
      <c r="G12" s="9"/>
      <c r="H12" s="9"/>
    </row>
    <row r="13" spans="1:8" x14ac:dyDescent="0.2">
      <c r="A13" s="40" t="s">
        <v>5</v>
      </c>
      <c r="B13" s="57">
        <v>0</v>
      </c>
      <c r="C13" s="1"/>
      <c r="E13" s="7"/>
      <c r="F13" s="7"/>
      <c r="G13" s="7"/>
    </row>
    <row r="14" spans="1:8" x14ac:dyDescent="0.2">
      <c r="A14" s="40" t="s">
        <v>6</v>
      </c>
      <c r="B14" s="57">
        <v>0</v>
      </c>
      <c r="C14" s="1"/>
      <c r="E14" s="7"/>
      <c r="F14" s="7"/>
      <c r="G14" s="7"/>
    </row>
    <row r="15" spans="1:8" x14ac:dyDescent="0.2">
      <c r="A15" s="40" t="s">
        <v>7</v>
      </c>
      <c r="B15" s="57">
        <v>0</v>
      </c>
      <c r="C15" s="1"/>
      <c r="E15" s="7"/>
      <c r="F15" s="7"/>
      <c r="G15" s="7"/>
    </row>
    <row r="16" spans="1:8" x14ac:dyDescent="0.2">
      <c r="A16" s="40" t="s">
        <v>39</v>
      </c>
      <c r="B16" s="57">
        <v>0</v>
      </c>
      <c r="C16" s="1"/>
      <c r="E16" s="7"/>
      <c r="F16" s="7"/>
      <c r="G16" s="7"/>
    </row>
    <row r="17" spans="1:7" x14ac:dyDescent="0.2">
      <c r="A17" s="40" t="s">
        <v>40</v>
      </c>
      <c r="B17" s="57">
        <v>0</v>
      </c>
      <c r="C17" s="1"/>
      <c r="E17" s="7"/>
      <c r="F17" s="7"/>
      <c r="G17" s="7"/>
    </row>
    <row r="18" spans="1:7" x14ac:dyDescent="0.2">
      <c r="A18" s="40" t="s">
        <v>41</v>
      </c>
      <c r="B18" s="57">
        <v>0</v>
      </c>
      <c r="C18" s="1"/>
      <c r="E18" s="7"/>
      <c r="F18" s="7"/>
      <c r="G18" s="7"/>
    </row>
    <row r="19" spans="1:7" x14ac:dyDescent="0.2">
      <c r="A19" s="40" t="s">
        <v>42</v>
      </c>
      <c r="B19" s="57">
        <v>0</v>
      </c>
      <c r="C19" s="1"/>
      <c r="E19" s="7"/>
      <c r="F19" s="7"/>
      <c r="G19" s="7"/>
    </row>
    <row r="20" spans="1:7" x14ac:dyDescent="0.2">
      <c r="A20" s="40" t="s">
        <v>43</v>
      </c>
      <c r="B20" s="57">
        <v>0</v>
      </c>
      <c r="C20" s="1"/>
      <c r="E20" s="7"/>
      <c r="F20" s="7"/>
      <c r="G20" s="7"/>
    </row>
    <row r="21" spans="1:7" x14ac:dyDescent="0.2">
      <c r="A21" s="40" t="s">
        <v>44</v>
      </c>
      <c r="B21" s="57">
        <v>0</v>
      </c>
      <c r="C21" s="1"/>
      <c r="E21" s="7"/>
      <c r="F21" s="7"/>
      <c r="G21" s="7"/>
    </row>
    <row r="22" spans="1:7" x14ac:dyDescent="0.2">
      <c r="A22" s="40" t="s">
        <v>45</v>
      </c>
      <c r="B22" s="57">
        <v>0</v>
      </c>
      <c r="C22" s="1"/>
      <c r="E22" s="7"/>
      <c r="F22" s="7"/>
      <c r="G22" s="7"/>
    </row>
    <row r="23" spans="1:7" x14ac:dyDescent="0.2">
      <c r="A23" s="40" t="s">
        <v>46</v>
      </c>
      <c r="B23" s="57">
        <v>0</v>
      </c>
      <c r="C23" s="1"/>
      <c r="E23" s="7"/>
      <c r="F23" s="7"/>
      <c r="G23" s="7"/>
    </row>
    <row r="24" spans="1:7" x14ac:dyDescent="0.2">
      <c r="A24" s="40" t="s">
        <v>47</v>
      </c>
      <c r="B24" s="57">
        <v>0</v>
      </c>
      <c r="C24" s="1"/>
      <c r="E24" s="7"/>
      <c r="F24" s="7"/>
      <c r="G24" s="7"/>
    </row>
    <row r="25" spans="1:7" x14ac:dyDescent="0.2">
      <c r="A25" s="40" t="s">
        <v>48</v>
      </c>
      <c r="B25" s="57">
        <v>0</v>
      </c>
      <c r="C25" s="1"/>
      <c r="E25" s="7"/>
      <c r="F25" s="7"/>
      <c r="G25" s="7"/>
    </row>
    <row r="26" spans="1:7" x14ac:dyDescent="0.2">
      <c r="A26" s="40" t="s">
        <v>49</v>
      </c>
      <c r="B26" s="57">
        <v>0</v>
      </c>
      <c r="C26" s="1"/>
      <c r="E26" s="7"/>
      <c r="F26" s="7"/>
      <c r="G26" s="7"/>
    </row>
    <row r="27" spans="1:7" x14ac:dyDescent="0.2">
      <c r="A27" s="40" t="s">
        <v>50</v>
      </c>
      <c r="B27" s="57">
        <v>0</v>
      </c>
      <c r="C27" s="1"/>
      <c r="E27" s="7"/>
      <c r="F27" s="7"/>
      <c r="G27" s="7"/>
    </row>
    <row r="28" spans="1:7" x14ac:dyDescent="0.2">
      <c r="A28" s="40" t="s">
        <v>51</v>
      </c>
      <c r="B28" s="57">
        <v>0</v>
      </c>
      <c r="C28" s="1"/>
      <c r="E28" s="7"/>
      <c r="F28" s="7"/>
      <c r="G28" s="7"/>
    </row>
    <row r="29" spans="1:7" x14ac:dyDescent="0.2">
      <c r="A29" s="40" t="s">
        <v>52</v>
      </c>
      <c r="B29" s="57">
        <v>0</v>
      </c>
      <c r="C29" s="1"/>
      <c r="E29" s="7"/>
      <c r="F29" s="7"/>
      <c r="G29" s="7"/>
    </row>
    <row r="30" spans="1:7" x14ac:dyDescent="0.2">
      <c r="A30" s="40" t="s">
        <v>53</v>
      </c>
      <c r="B30" s="57">
        <v>0</v>
      </c>
      <c r="C30" s="1"/>
      <c r="E30" s="7"/>
      <c r="F30" s="7"/>
      <c r="G30" s="7"/>
    </row>
    <row r="31" spans="1:7" x14ac:dyDescent="0.2">
      <c r="A31" s="40" t="s">
        <v>54</v>
      </c>
      <c r="B31" s="57">
        <v>0</v>
      </c>
      <c r="C31" s="1"/>
      <c r="E31" s="7"/>
      <c r="F31" s="7"/>
      <c r="G31" s="7"/>
    </row>
    <row r="32" spans="1:7" x14ac:dyDescent="0.2">
      <c r="A32" s="41" t="s">
        <v>55</v>
      </c>
      <c r="B32" s="58">
        <v>0</v>
      </c>
      <c r="C32" s="1"/>
      <c r="E32" s="7"/>
      <c r="F32" s="7"/>
      <c r="G32" s="7"/>
    </row>
    <row r="33" spans="1:19" x14ac:dyDescent="0.2">
      <c r="A33" s="77" t="s">
        <v>28</v>
      </c>
      <c r="B33" s="78">
        <f>SUM(B12:B32)</f>
        <v>0</v>
      </c>
      <c r="C33" s="79"/>
      <c r="D33" s="48"/>
      <c r="E33" s="48"/>
      <c r="F33" s="48"/>
      <c r="G33" s="48"/>
      <c r="H33" s="48"/>
      <c r="I33" s="48"/>
    </row>
    <row r="34" spans="1:19" x14ac:dyDescent="0.2">
      <c r="A34" s="79"/>
      <c r="B34" s="79"/>
      <c r="C34" s="48"/>
      <c r="D34" s="48"/>
      <c r="E34" s="48"/>
      <c r="F34" s="48"/>
      <c r="G34" s="48"/>
      <c r="H34" s="48"/>
      <c r="I34" s="48"/>
    </row>
    <row r="35" spans="1:19" x14ac:dyDescent="0.2">
      <c r="A35" s="79"/>
      <c r="B35" s="79"/>
      <c r="C35" s="48"/>
      <c r="D35" s="48"/>
      <c r="E35" s="48"/>
      <c r="F35" s="48"/>
      <c r="G35" s="48"/>
      <c r="H35" s="48"/>
      <c r="I35" s="48"/>
    </row>
    <row r="36" spans="1:19" x14ac:dyDescent="0.2">
      <c r="A36" s="79"/>
      <c r="B36" s="79"/>
      <c r="C36" s="48"/>
      <c r="D36" s="48"/>
      <c r="E36" s="48"/>
      <c r="F36" s="48"/>
      <c r="G36" s="48"/>
      <c r="H36" s="48"/>
      <c r="I36" s="48"/>
    </row>
    <row r="37" spans="1:19" x14ac:dyDescent="0.2">
      <c r="A37" s="79"/>
      <c r="B37" s="79"/>
      <c r="C37" s="48"/>
      <c r="D37" s="48"/>
      <c r="E37" s="48"/>
      <c r="F37" s="48"/>
      <c r="G37" s="48"/>
      <c r="H37" s="48"/>
      <c r="I37" s="48"/>
    </row>
    <row r="38" spans="1:19" x14ac:dyDescent="0.2">
      <c r="A38" s="79"/>
      <c r="B38" s="79"/>
      <c r="C38" s="48"/>
      <c r="D38" s="48"/>
      <c r="E38" s="48"/>
      <c r="F38" s="48"/>
      <c r="G38" s="48"/>
      <c r="H38" s="48"/>
      <c r="I38" s="48"/>
    </row>
    <row r="39" spans="1:19" x14ac:dyDescent="0.2">
      <c r="A39" s="79"/>
      <c r="B39" s="79"/>
      <c r="C39" s="48"/>
      <c r="D39" s="48"/>
      <c r="E39" s="48"/>
      <c r="F39" s="48"/>
      <c r="G39" s="48"/>
      <c r="H39" s="48"/>
      <c r="I39" s="48"/>
    </row>
    <row r="40" spans="1:19" x14ac:dyDescent="0.2">
      <c r="A40" s="79"/>
      <c r="B40" s="79"/>
      <c r="C40" s="48"/>
      <c r="D40" s="48"/>
      <c r="E40" s="48"/>
      <c r="F40" s="48"/>
      <c r="G40" s="48"/>
      <c r="H40" s="48"/>
      <c r="I40" s="48"/>
    </row>
    <row r="41" spans="1:19" x14ac:dyDescent="0.2">
      <c r="A41" s="79"/>
      <c r="B41" s="79"/>
      <c r="C41" s="48"/>
      <c r="D41" s="48"/>
      <c r="E41" s="48"/>
      <c r="F41" s="48"/>
      <c r="G41" s="48"/>
      <c r="H41" s="48"/>
      <c r="I41" s="48"/>
    </row>
    <row r="42" spans="1:19" x14ac:dyDescent="0.2">
      <c r="A42" s="79"/>
      <c r="B42" s="79"/>
      <c r="C42" s="48"/>
      <c r="D42" s="48"/>
      <c r="E42" s="48"/>
      <c r="F42" s="48"/>
      <c r="G42" s="48"/>
      <c r="H42" s="48"/>
      <c r="I42" s="48"/>
    </row>
    <row r="43" spans="1:19" x14ac:dyDescent="0.2">
      <c r="A43" s="51"/>
      <c r="B43" s="51"/>
      <c r="C43" s="48"/>
      <c r="D43" s="48"/>
      <c r="E43" s="48"/>
      <c r="F43" s="48"/>
      <c r="G43" s="48"/>
      <c r="H43" s="48"/>
      <c r="I43" s="48"/>
    </row>
    <row r="44" spans="1:19" x14ac:dyDescent="0.2">
      <c r="A44" s="51"/>
      <c r="B44" s="51"/>
      <c r="C44" s="48"/>
      <c r="D44" s="48"/>
      <c r="E44" s="48"/>
      <c r="F44" s="48" t="s">
        <v>73</v>
      </c>
      <c r="G44" s="48"/>
      <c r="H44" s="48"/>
      <c r="I44" s="48"/>
    </row>
    <row r="45" spans="1:19" x14ac:dyDescent="0.2">
      <c r="A45" s="51"/>
      <c r="B45" s="51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1:19" x14ac:dyDescent="0.2">
      <c r="A46" s="51"/>
      <c r="B46" s="51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1:19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</row>
    <row r="48" spans="1:19" x14ac:dyDescent="0.2">
      <c r="A48" s="37"/>
      <c r="B48" s="37"/>
      <c r="C48" s="37"/>
      <c r="D48" s="37"/>
      <c r="E48" s="37"/>
      <c r="F48" s="37"/>
      <c r="G48" s="37"/>
      <c r="H48" s="37"/>
      <c r="I48" s="37"/>
      <c r="J48" s="48"/>
      <c r="K48" s="48"/>
      <c r="L48" s="48"/>
      <c r="M48" s="48"/>
      <c r="N48" s="48"/>
      <c r="O48" s="48"/>
      <c r="P48" s="48"/>
      <c r="Q48" s="48"/>
      <c r="R48" s="48"/>
      <c r="S48" s="48"/>
    </row>
    <row r="49" spans="1:19" x14ac:dyDescent="0.2">
      <c r="A49" s="37"/>
      <c r="B49" s="37"/>
      <c r="C49" s="37"/>
      <c r="D49" s="37"/>
      <c r="E49" s="37"/>
      <c r="F49" s="37"/>
      <c r="G49" s="37"/>
      <c r="H49" s="37"/>
      <c r="I49" s="37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1:19" x14ac:dyDescent="0.2">
      <c r="A50" s="37"/>
      <c r="B50" s="37"/>
      <c r="C50" s="37"/>
      <c r="D50" s="37"/>
      <c r="E50" s="37"/>
      <c r="F50" s="37"/>
      <c r="G50" s="37"/>
      <c r="H50" s="37"/>
      <c r="I50" s="37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1:19" x14ac:dyDescent="0.2">
      <c r="A51" s="37" t="s">
        <v>64</v>
      </c>
      <c r="B51" s="37" t="s">
        <v>65</v>
      </c>
      <c r="C51" s="37" t="s">
        <v>57</v>
      </c>
      <c r="D51" s="37" t="s">
        <v>66</v>
      </c>
      <c r="E51" s="37" t="s">
        <v>70</v>
      </c>
      <c r="F51" s="37" t="s">
        <v>72</v>
      </c>
      <c r="G51" s="37" t="s">
        <v>74</v>
      </c>
      <c r="H51" s="37" t="s">
        <v>75</v>
      </c>
      <c r="I51" s="37" t="s">
        <v>76</v>
      </c>
      <c r="J51" s="48"/>
      <c r="K51" s="48"/>
      <c r="L51" s="48"/>
      <c r="M51" s="48"/>
      <c r="N51" s="48"/>
      <c r="O51" s="48"/>
      <c r="P51" s="48"/>
      <c r="Q51" s="48"/>
      <c r="R51" s="48"/>
      <c r="S51" s="48"/>
    </row>
    <row r="52" spans="1:19" x14ac:dyDescent="0.2">
      <c r="A52" s="37">
        <v>0</v>
      </c>
      <c r="B52" s="37">
        <v>1</v>
      </c>
      <c r="C52" s="37">
        <f t="shared" ref="C52:C83" si="0">A52+(B52-A52)/2</f>
        <v>0.5</v>
      </c>
      <c r="D52" s="37">
        <f>$B$12/5</f>
        <v>0</v>
      </c>
      <c r="E52" s="37">
        <f>$D52*(4*EXP(-C$5*$A52)-4*EXP(-C$5*$B52))</f>
        <v>0</v>
      </c>
      <c r="F52" s="37">
        <f t="shared" ref="F52:I52" si="1">$D52*(4*EXP(-D$5*$A52)-4*EXP(-D$5*$B52))</f>
        <v>0</v>
      </c>
      <c r="G52" s="37">
        <f t="shared" si="1"/>
        <v>0</v>
      </c>
      <c r="H52" s="37">
        <f t="shared" si="1"/>
        <v>0</v>
      </c>
      <c r="I52" s="37">
        <f t="shared" si="1"/>
        <v>0</v>
      </c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53" spans="1:19" x14ac:dyDescent="0.2">
      <c r="A53" s="37">
        <v>1</v>
      </c>
      <c r="B53" s="37">
        <v>2</v>
      </c>
      <c r="C53" s="37">
        <f t="shared" si="0"/>
        <v>1.5</v>
      </c>
      <c r="D53" s="37">
        <f t="shared" ref="D53:D56" si="2">$B$12/5</f>
        <v>0</v>
      </c>
      <c r="E53" s="37">
        <f t="shared" ref="E53:E116" si="3">D53*(4*EXP(-$C$5*A53)-4*EXP(-$C$5*B53))</f>
        <v>0</v>
      </c>
      <c r="F53" s="37">
        <f t="shared" ref="F53:F116" si="4">$D53*(4*EXP(-D$5*$A53)-4*EXP(-D$5*$B53))</f>
        <v>0</v>
      </c>
      <c r="G53" s="37">
        <f t="shared" ref="G53:G116" si="5">$D53*(4*EXP(-E$5*$A53)-4*EXP(-E$5*$B53))</f>
        <v>0</v>
      </c>
      <c r="H53" s="37">
        <f t="shared" ref="H53:H116" si="6">$D53*(4*EXP(-F$5*$A53)-4*EXP(-F$5*$B53))</f>
        <v>0</v>
      </c>
      <c r="I53" s="37">
        <f t="shared" ref="I53:I116" si="7">$D53*(4*EXP(-G$5*$A53)-4*EXP(-G$5*$B53))</f>
        <v>0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</row>
    <row r="54" spans="1:19" x14ac:dyDescent="0.2">
      <c r="A54" s="37">
        <v>2</v>
      </c>
      <c r="B54" s="37">
        <v>3</v>
      </c>
      <c r="C54" s="37">
        <f t="shared" si="0"/>
        <v>2.5</v>
      </c>
      <c r="D54" s="37">
        <f t="shared" si="2"/>
        <v>0</v>
      </c>
      <c r="E54" s="37">
        <f t="shared" si="3"/>
        <v>0</v>
      </c>
      <c r="F54" s="37">
        <f t="shared" si="4"/>
        <v>0</v>
      </c>
      <c r="G54" s="37">
        <f t="shared" si="5"/>
        <v>0</v>
      </c>
      <c r="H54" s="37">
        <f t="shared" si="6"/>
        <v>0</v>
      </c>
      <c r="I54" s="37">
        <f t="shared" si="7"/>
        <v>0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</row>
    <row r="55" spans="1:19" x14ac:dyDescent="0.2">
      <c r="A55" s="37">
        <v>3</v>
      </c>
      <c r="B55" s="37">
        <v>4</v>
      </c>
      <c r="C55" s="37">
        <f t="shared" si="0"/>
        <v>3.5</v>
      </c>
      <c r="D55" s="37">
        <f t="shared" si="2"/>
        <v>0</v>
      </c>
      <c r="E55" s="37">
        <f t="shared" si="3"/>
        <v>0</v>
      </c>
      <c r="F55" s="37">
        <f t="shared" si="4"/>
        <v>0</v>
      </c>
      <c r="G55" s="37">
        <f t="shared" si="5"/>
        <v>0</v>
      </c>
      <c r="H55" s="37">
        <f t="shared" si="6"/>
        <v>0</v>
      </c>
      <c r="I55" s="37">
        <f t="shared" si="7"/>
        <v>0</v>
      </c>
      <c r="J55" s="48"/>
      <c r="K55" s="48"/>
      <c r="L55" s="48"/>
      <c r="M55" s="48"/>
      <c r="N55" s="48"/>
      <c r="O55" s="48"/>
      <c r="P55" s="48"/>
      <c r="Q55" s="48"/>
      <c r="R55" s="48"/>
      <c r="S55" s="48"/>
    </row>
    <row r="56" spans="1:19" x14ac:dyDescent="0.2">
      <c r="A56" s="37">
        <v>4</v>
      </c>
      <c r="B56" s="37">
        <v>5</v>
      </c>
      <c r="C56" s="37">
        <f t="shared" si="0"/>
        <v>4.5</v>
      </c>
      <c r="D56" s="37">
        <f t="shared" si="2"/>
        <v>0</v>
      </c>
      <c r="E56" s="37">
        <f t="shared" si="3"/>
        <v>0</v>
      </c>
      <c r="F56" s="37">
        <f t="shared" si="4"/>
        <v>0</v>
      </c>
      <c r="G56" s="37">
        <f t="shared" si="5"/>
        <v>0</v>
      </c>
      <c r="H56" s="37">
        <f t="shared" si="6"/>
        <v>0</v>
      </c>
      <c r="I56" s="37">
        <f t="shared" si="7"/>
        <v>0</v>
      </c>
      <c r="J56" s="48"/>
      <c r="K56" s="48"/>
      <c r="L56" s="48"/>
      <c r="M56" s="48"/>
      <c r="N56" s="48"/>
      <c r="O56" s="48"/>
      <c r="P56" s="48"/>
      <c r="Q56" s="48"/>
      <c r="R56" s="48"/>
      <c r="S56" s="48"/>
    </row>
    <row r="57" spans="1:19" x14ac:dyDescent="0.2">
      <c r="A57" s="37">
        <v>5</v>
      </c>
      <c r="B57" s="37">
        <v>6</v>
      </c>
      <c r="C57" s="37">
        <f t="shared" si="0"/>
        <v>5.5</v>
      </c>
      <c r="D57" s="37">
        <f>$B$13/5</f>
        <v>0</v>
      </c>
      <c r="E57" s="37">
        <f t="shared" si="3"/>
        <v>0</v>
      </c>
      <c r="F57" s="37">
        <f t="shared" si="4"/>
        <v>0</v>
      </c>
      <c r="G57" s="37">
        <f t="shared" si="5"/>
        <v>0</v>
      </c>
      <c r="H57" s="37">
        <f t="shared" si="6"/>
        <v>0</v>
      </c>
      <c r="I57" s="37">
        <f t="shared" si="7"/>
        <v>0</v>
      </c>
      <c r="J57" s="48"/>
      <c r="K57" s="48"/>
      <c r="L57" s="48"/>
      <c r="M57" s="48"/>
      <c r="N57" s="48"/>
      <c r="O57" s="48"/>
      <c r="P57" s="48"/>
      <c r="Q57" s="48"/>
      <c r="R57" s="48"/>
      <c r="S57" s="48"/>
    </row>
    <row r="58" spans="1:19" x14ac:dyDescent="0.2">
      <c r="A58" s="37">
        <v>6</v>
      </c>
      <c r="B58" s="37">
        <v>7</v>
      </c>
      <c r="C58" s="37">
        <f t="shared" si="0"/>
        <v>6.5</v>
      </c>
      <c r="D58" s="37">
        <f t="shared" ref="D58:D61" si="8">$B$13/5</f>
        <v>0</v>
      </c>
      <c r="E58" s="37">
        <f t="shared" si="3"/>
        <v>0</v>
      </c>
      <c r="F58" s="37">
        <f t="shared" si="4"/>
        <v>0</v>
      </c>
      <c r="G58" s="37">
        <f t="shared" si="5"/>
        <v>0</v>
      </c>
      <c r="H58" s="37">
        <f t="shared" si="6"/>
        <v>0</v>
      </c>
      <c r="I58" s="37">
        <f t="shared" si="7"/>
        <v>0</v>
      </c>
      <c r="J58" s="48"/>
      <c r="K58" s="48"/>
      <c r="L58" s="48"/>
      <c r="M58" s="48"/>
      <c r="N58" s="48"/>
      <c r="O58" s="48"/>
      <c r="P58" s="48"/>
      <c r="Q58" s="48"/>
      <c r="R58" s="48"/>
      <c r="S58" s="48"/>
    </row>
    <row r="59" spans="1:19" x14ac:dyDescent="0.2">
      <c r="A59" s="37">
        <v>7</v>
      </c>
      <c r="B59" s="37">
        <v>8</v>
      </c>
      <c r="C59" s="37">
        <f t="shared" si="0"/>
        <v>7.5</v>
      </c>
      <c r="D59" s="37">
        <f t="shared" si="8"/>
        <v>0</v>
      </c>
      <c r="E59" s="37">
        <f t="shared" si="3"/>
        <v>0</v>
      </c>
      <c r="F59" s="37">
        <f t="shared" si="4"/>
        <v>0</v>
      </c>
      <c r="G59" s="37">
        <f t="shared" si="5"/>
        <v>0</v>
      </c>
      <c r="H59" s="37">
        <f t="shared" si="6"/>
        <v>0</v>
      </c>
      <c r="I59" s="37">
        <f t="shared" si="7"/>
        <v>0</v>
      </c>
      <c r="J59" s="48"/>
      <c r="K59" s="48"/>
      <c r="L59" s="48"/>
      <c r="M59" s="48"/>
      <c r="N59" s="48"/>
      <c r="O59" s="48"/>
      <c r="P59" s="48"/>
      <c r="Q59" s="48"/>
      <c r="R59" s="48"/>
      <c r="S59" s="48"/>
    </row>
    <row r="60" spans="1:19" x14ac:dyDescent="0.2">
      <c r="A60" s="37">
        <v>8</v>
      </c>
      <c r="B60" s="37">
        <v>9</v>
      </c>
      <c r="C60" s="37">
        <f t="shared" si="0"/>
        <v>8.5</v>
      </c>
      <c r="D60" s="37">
        <f t="shared" si="8"/>
        <v>0</v>
      </c>
      <c r="E60" s="37">
        <f t="shared" si="3"/>
        <v>0</v>
      </c>
      <c r="F60" s="37">
        <f t="shared" si="4"/>
        <v>0</v>
      </c>
      <c r="G60" s="37">
        <f t="shared" si="5"/>
        <v>0</v>
      </c>
      <c r="H60" s="37">
        <f t="shared" si="6"/>
        <v>0</v>
      </c>
      <c r="I60" s="37">
        <f t="shared" si="7"/>
        <v>0</v>
      </c>
      <c r="J60" s="48"/>
      <c r="K60" s="48"/>
      <c r="L60" s="48"/>
      <c r="M60" s="48"/>
      <c r="N60" s="48"/>
      <c r="O60" s="48"/>
      <c r="P60" s="48"/>
      <c r="Q60" s="48"/>
      <c r="R60" s="48"/>
      <c r="S60" s="48"/>
    </row>
    <row r="61" spans="1:19" x14ac:dyDescent="0.2">
      <c r="A61" s="37">
        <v>9</v>
      </c>
      <c r="B61" s="37">
        <v>10</v>
      </c>
      <c r="C61" s="37">
        <f t="shared" si="0"/>
        <v>9.5</v>
      </c>
      <c r="D61" s="37">
        <f t="shared" si="8"/>
        <v>0</v>
      </c>
      <c r="E61" s="37">
        <f t="shared" si="3"/>
        <v>0</v>
      </c>
      <c r="F61" s="37">
        <f t="shared" si="4"/>
        <v>0</v>
      </c>
      <c r="G61" s="37">
        <f t="shared" si="5"/>
        <v>0</v>
      </c>
      <c r="H61" s="37">
        <f t="shared" si="6"/>
        <v>0</v>
      </c>
      <c r="I61" s="37">
        <f t="shared" si="7"/>
        <v>0</v>
      </c>
      <c r="J61" s="48"/>
      <c r="K61" s="48"/>
      <c r="L61" s="48"/>
      <c r="M61" s="48"/>
      <c r="N61" s="48"/>
      <c r="O61" s="48"/>
      <c r="P61" s="48"/>
      <c r="Q61" s="48"/>
      <c r="R61" s="48"/>
      <c r="S61" s="48"/>
    </row>
    <row r="62" spans="1:19" x14ac:dyDescent="0.2">
      <c r="A62" s="37">
        <v>10</v>
      </c>
      <c r="B62" s="37">
        <v>11</v>
      </c>
      <c r="C62" s="37">
        <f t="shared" si="0"/>
        <v>10.5</v>
      </c>
      <c r="D62" s="37">
        <f>$B$14/5</f>
        <v>0</v>
      </c>
      <c r="E62" s="37">
        <f t="shared" si="3"/>
        <v>0</v>
      </c>
      <c r="F62" s="37">
        <f t="shared" si="4"/>
        <v>0</v>
      </c>
      <c r="G62" s="37">
        <f t="shared" si="5"/>
        <v>0</v>
      </c>
      <c r="H62" s="37">
        <f t="shared" si="6"/>
        <v>0</v>
      </c>
      <c r="I62" s="37">
        <f t="shared" si="7"/>
        <v>0</v>
      </c>
      <c r="J62" s="48"/>
      <c r="K62" s="48"/>
      <c r="L62" s="48"/>
      <c r="M62" s="48"/>
      <c r="N62" s="48"/>
      <c r="O62" s="48"/>
      <c r="P62" s="48"/>
      <c r="Q62" s="48"/>
      <c r="R62" s="48"/>
      <c r="S62" s="48"/>
    </row>
    <row r="63" spans="1:19" x14ac:dyDescent="0.2">
      <c r="A63" s="37">
        <v>11</v>
      </c>
      <c r="B63" s="37">
        <v>12</v>
      </c>
      <c r="C63" s="37">
        <f t="shared" si="0"/>
        <v>11.5</v>
      </c>
      <c r="D63" s="37">
        <f t="shared" ref="D63:D66" si="9">$B$14/5</f>
        <v>0</v>
      </c>
      <c r="E63" s="37">
        <f t="shared" si="3"/>
        <v>0</v>
      </c>
      <c r="F63" s="37">
        <f t="shared" si="4"/>
        <v>0</v>
      </c>
      <c r="G63" s="37">
        <f t="shared" si="5"/>
        <v>0</v>
      </c>
      <c r="H63" s="37">
        <f t="shared" si="6"/>
        <v>0</v>
      </c>
      <c r="I63" s="37">
        <f t="shared" si="7"/>
        <v>0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</row>
    <row r="64" spans="1:19" x14ac:dyDescent="0.2">
      <c r="A64" s="37">
        <v>12</v>
      </c>
      <c r="B64" s="37">
        <v>13</v>
      </c>
      <c r="C64" s="37">
        <f t="shared" si="0"/>
        <v>12.5</v>
      </c>
      <c r="D64" s="37">
        <f t="shared" si="9"/>
        <v>0</v>
      </c>
      <c r="E64" s="37">
        <f t="shared" si="3"/>
        <v>0</v>
      </c>
      <c r="F64" s="37">
        <f t="shared" si="4"/>
        <v>0</v>
      </c>
      <c r="G64" s="37">
        <f t="shared" si="5"/>
        <v>0</v>
      </c>
      <c r="H64" s="37">
        <f t="shared" si="6"/>
        <v>0</v>
      </c>
      <c r="I64" s="37">
        <f t="shared" si="7"/>
        <v>0</v>
      </c>
      <c r="J64" s="48"/>
      <c r="K64" s="48"/>
      <c r="L64" s="48"/>
      <c r="M64" s="48"/>
      <c r="N64" s="48"/>
      <c r="O64" s="48"/>
      <c r="P64" s="48"/>
      <c r="Q64" s="48"/>
      <c r="R64" s="48"/>
      <c r="S64" s="48"/>
    </row>
    <row r="65" spans="1:19" x14ac:dyDescent="0.2">
      <c r="A65" s="37">
        <v>13</v>
      </c>
      <c r="B65" s="37">
        <v>14</v>
      </c>
      <c r="C65" s="37">
        <f t="shared" si="0"/>
        <v>13.5</v>
      </c>
      <c r="D65" s="37">
        <f t="shared" si="9"/>
        <v>0</v>
      </c>
      <c r="E65" s="37">
        <f t="shared" si="3"/>
        <v>0</v>
      </c>
      <c r="F65" s="37">
        <f t="shared" si="4"/>
        <v>0</v>
      </c>
      <c r="G65" s="37">
        <f t="shared" si="5"/>
        <v>0</v>
      </c>
      <c r="H65" s="37">
        <f t="shared" si="6"/>
        <v>0</v>
      </c>
      <c r="I65" s="37">
        <f t="shared" si="7"/>
        <v>0</v>
      </c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x14ac:dyDescent="0.2">
      <c r="A66" s="37">
        <v>14</v>
      </c>
      <c r="B66" s="37">
        <v>15</v>
      </c>
      <c r="C66" s="37">
        <f t="shared" si="0"/>
        <v>14.5</v>
      </c>
      <c r="D66" s="37">
        <f t="shared" si="9"/>
        <v>0</v>
      </c>
      <c r="E66" s="37">
        <f t="shared" si="3"/>
        <v>0</v>
      </c>
      <c r="F66" s="37">
        <f t="shared" si="4"/>
        <v>0</v>
      </c>
      <c r="G66" s="37">
        <f t="shared" si="5"/>
        <v>0</v>
      </c>
      <c r="H66" s="37">
        <f t="shared" si="6"/>
        <v>0</v>
      </c>
      <c r="I66" s="37">
        <f t="shared" si="7"/>
        <v>0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</row>
    <row r="67" spans="1:19" x14ac:dyDescent="0.2">
      <c r="A67" s="37">
        <v>15</v>
      </c>
      <c r="B67" s="37">
        <v>16</v>
      </c>
      <c r="C67" s="37">
        <f t="shared" si="0"/>
        <v>15.5</v>
      </c>
      <c r="D67" s="37">
        <f>$B$15/5</f>
        <v>0</v>
      </c>
      <c r="E67" s="37">
        <f t="shared" si="3"/>
        <v>0</v>
      </c>
      <c r="F67" s="37">
        <f t="shared" si="4"/>
        <v>0</v>
      </c>
      <c r="G67" s="37">
        <f t="shared" si="5"/>
        <v>0</v>
      </c>
      <c r="H67" s="37">
        <f t="shared" si="6"/>
        <v>0</v>
      </c>
      <c r="I67" s="37">
        <f t="shared" si="7"/>
        <v>0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</row>
    <row r="68" spans="1:19" x14ac:dyDescent="0.2">
      <c r="A68" s="37">
        <v>16</v>
      </c>
      <c r="B68" s="37">
        <v>17</v>
      </c>
      <c r="C68" s="37">
        <f t="shared" si="0"/>
        <v>16.5</v>
      </c>
      <c r="D68" s="37">
        <f t="shared" ref="D68:D71" si="10">$B$15/5</f>
        <v>0</v>
      </c>
      <c r="E68" s="37">
        <f t="shared" si="3"/>
        <v>0</v>
      </c>
      <c r="F68" s="37">
        <f t="shared" si="4"/>
        <v>0</v>
      </c>
      <c r="G68" s="37">
        <f t="shared" si="5"/>
        <v>0</v>
      </c>
      <c r="H68" s="37">
        <f t="shared" si="6"/>
        <v>0</v>
      </c>
      <c r="I68" s="37">
        <f t="shared" si="7"/>
        <v>0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</row>
    <row r="69" spans="1:19" x14ac:dyDescent="0.2">
      <c r="A69" s="37">
        <v>17</v>
      </c>
      <c r="B69" s="37">
        <v>18</v>
      </c>
      <c r="C69" s="37">
        <f t="shared" si="0"/>
        <v>17.5</v>
      </c>
      <c r="D69" s="37">
        <f t="shared" si="10"/>
        <v>0</v>
      </c>
      <c r="E69" s="37">
        <f t="shared" si="3"/>
        <v>0</v>
      </c>
      <c r="F69" s="37">
        <f t="shared" si="4"/>
        <v>0</v>
      </c>
      <c r="G69" s="37">
        <f t="shared" si="5"/>
        <v>0</v>
      </c>
      <c r="H69" s="37">
        <f t="shared" si="6"/>
        <v>0</v>
      </c>
      <c r="I69" s="37">
        <f t="shared" si="7"/>
        <v>0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</row>
    <row r="70" spans="1:19" x14ac:dyDescent="0.2">
      <c r="A70" s="37">
        <v>18</v>
      </c>
      <c r="B70" s="37">
        <v>19</v>
      </c>
      <c r="C70" s="37">
        <f t="shared" si="0"/>
        <v>18.5</v>
      </c>
      <c r="D70" s="37">
        <f t="shared" si="10"/>
        <v>0</v>
      </c>
      <c r="E70" s="37">
        <f t="shared" si="3"/>
        <v>0</v>
      </c>
      <c r="F70" s="37">
        <f t="shared" si="4"/>
        <v>0</v>
      </c>
      <c r="G70" s="37">
        <f t="shared" si="5"/>
        <v>0</v>
      </c>
      <c r="H70" s="37">
        <f t="shared" si="6"/>
        <v>0</v>
      </c>
      <c r="I70" s="37">
        <f t="shared" si="7"/>
        <v>0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</row>
    <row r="71" spans="1:19" x14ac:dyDescent="0.2">
      <c r="A71" s="37">
        <v>19</v>
      </c>
      <c r="B71" s="37">
        <v>20</v>
      </c>
      <c r="C71" s="37">
        <f t="shared" si="0"/>
        <v>19.5</v>
      </c>
      <c r="D71" s="37">
        <f t="shared" si="10"/>
        <v>0</v>
      </c>
      <c r="E71" s="37">
        <f t="shared" si="3"/>
        <v>0</v>
      </c>
      <c r="F71" s="37">
        <f t="shared" si="4"/>
        <v>0</v>
      </c>
      <c r="G71" s="37">
        <f t="shared" si="5"/>
        <v>0</v>
      </c>
      <c r="H71" s="37">
        <f t="shared" si="6"/>
        <v>0</v>
      </c>
      <c r="I71" s="37">
        <f t="shared" si="7"/>
        <v>0</v>
      </c>
      <c r="J71" s="48"/>
      <c r="K71" s="48"/>
      <c r="L71" s="48"/>
      <c r="M71" s="48"/>
      <c r="N71" s="48"/>
      <c r="O71" s="48"/>
      <c r="P71" s="48"/>
      <c r="Q71" s="48"/>
      <c r="R71" s="48"/>
      <c r="S71" s="48"/>
    </row>
    <row r="72" spans="1:19" x14ac:dyDescent="0.2">
      <c r="A72" s="37">
        <v>20</v>
      </c>
      <c r="B72" s="37">
        <v>21</v>
      </c>
      <c r="C72" s="37">
        <f t="shared" si="0"/>
        <v>20.5</v>
      </c>
      <c r="D72" s="37">
        <f>$B$16/5</f>
        <v>0</v>
      </c>
      <c r="E72" s="37">
        <f t="shared" si="3"/>
        <v>0</v>
      </c>
      <c r="F72" s="37">
        <f t="shared" si="4"/>
        <v>0</v>
      </c>
      <c r="G72" s="37">
        <f t="shared" si="5"/>
        <v>0</v>
      </c>
      <c r="H72" s="37">
        <f t="shared" si="6"/>
        <v>0</v>
      </c>
      <c r="I72" s="37">
        <f t="shared" si="7"/>
        <v>0</v>
      </c>
      <c r="J72" s="48"/>
      <c r="K72" s="48"/>
      <c r="L72" s="48"/>
      <c r="M72" s="48"/>
      <c r="N72" s="48"/>
      <c r="O72" s="48"/>
      <c r="P72" s="48"/>
      <c r="Q72" s="48"/>
      <c r="R72" s="48"/>
      <c r="S72" s="48"/>
    </row>
    <row r="73" spans="1:19" x14ac:dyDescent="0.2">
      <c r="A73" s="37">
        <v>21</v>
      </c>
      <c r="B73" s="37">
        <v>22</v>
      </c>
      <c r="C73" s="37">
        <f t="shared" si="0"/>
        <v>21.5</v>
      </c>
      <c r="D73" s="37">
        <f>$B$16/5</f>
        <v>0</v>
      </c>
      <c r="E73" s="37">
        <f t="shared" si="3"/>
        <v>0</v>
      </c>
      <c r="F73" s="37">
        <f t="shared" si="4"/>
        <v>0</v>
      </c>
      <c r="G73" s="37">
        <f t="shared" si="5"/>
        <v>0</v>
      </c>
      <c r="H73" s="37">
        <f t="shared" si="6"/>
        <v>0</v>
      </c>
      <c r="I73" s="37">
        <f t="shared" si="7"/>
        <v>0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</row>
    <row r="74" spans="1:19" x14ac:dyDescent="0.2">
      <c r="A74" s="37">
        <v>22</v>
      </c>
      <c r="B74" s="37">
        <v>23</v>
      </c>
      <c r="C74" s="37">
        <f t="shared" si="0"/>
        <v>22.5</v>
      </c>
      <c r="D74" s="37">
        <f t="shared" ref="D74:D76" si="11">$B$16/5</f>
        <v>0</v>
      </c>
      <c r="E74" s="37">
        <f t="shared" si="3"/>
        <v>0</v>
      </c>
      <c r="F74" s="37">
        <f t="shared" si="4"/>
        <v>0</v>
      </c>
      <c r="G74" s="37">
        <f t="shared" si="5"/>
        <v>0</v>
      </c>
      <c r="H74" s="37">
        <f t="shared" si="6"/>
        <v>0</v>
      </c>
      <c r="I74" s="37">
        <f t="shared" si="7"/>
        <v>0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</row>
    <row r="75" spans="1:19" x14ac:dyDescent="0.2">
      <c r="A75" s="37">
        <v>23</v>
      </c>
      <c r="B75" s="37">
        <v>24</v>
      </c>
      <c r="C75" s="37">
        <f t="shared" si="0"/>
        <v>23.5</v>
      </c>
      <c r="D75" s="37">
        <f t="shared" si="11"/>
        <v>0</v>
      </c>
      <c r="E75" s="37">
        <f t="shared" si="3"/>
        <v>0</v>
      </c>
      <c r="F75" s="37">
        <f t="shared" si="4"/>
        <v>0</v>
      </c>
      <c r="G75" s="37">
        <f t="shared" si="5"/>
        <v>0</v>
      </c>
      <c r="H75" s="37">
        <f t="shared" si="6"/>
        <v>0</v>
      </c>
      <c r="I75" s="37">
        <f t="shared" si="7"/>
        <v>0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</row>
    <row r="76" spans="1:19" x14ac:dyDescent="0.2">
      <c r="A76" s="37">
        <v>24</v>
      </c>
      <c r="B76" s="37">
        <v>25</v>
      </c>
      <c r="C76" s="37">
        <f t="shared" si="0"/>
        <v>24.5</v>
      </c>
      <c r="D76" s="37">
        <f t="shared" si="11"/>
        <v>0</v>
      </c>
      <c r="E76" s="37">
        <f t="shared" si="3"/>
        <v>0</v>
      </c>
      <c r="F76" s="37">
        <f t="shared" si="4"/>
        <v>0</v>
      </c>
      <c r="G76" s="37">
        <f t="shared" si="5"/>
        <v>0</v>
      </c>
      <c r="H76" s="37">
        <f t="shared" si="6"/>
        <v>0</v>
      </c>
      <c r="I76" s="37">
        <f t="shared" si="7"/>
        <v>0</v>
      </c>
      <c r="J76" s="48"/>
      <c r="K76" s="48"/>
      <c r="L76" s="48"/>
      <c r="M76" s="48"/>
      <c r="N76" s="48"/>
      <c r="O76" s="48"/>
      <c r="P76" s="48"/>
      <c r="Q76" s="48"/>
      <c r="R76" s="48"/>
      <c r="S76" s="48"/>
    </row>
    <row r="77" spans="1:19" x14ac:dyDescent="0.2">
      <c r="A77" s="37">
        <v>25</v>
      </c>
      <c r="B77" s="37">
        <v>26</v>
      </c>
      <c r="C77" s="37">
        <f t="shared" si="0"/>
        <v>25.5</v>
      </c>
      <c r="D77" s="37">
        <f>$B$17/5</f>
        <v>0</v>
      </c>
      <c r="E77" s="37">
        <f t="shared" si="3"/>
        <v>0</v>
      </c>
      <c r="F77" s="37">
        <f t="shared" si="4"/>
        <v>0</v>
      </c>
      <c r="G77" s="37">
        <f t="shared" si="5"/>
        <v>0</v>
      </c>
      <c r="H77" s="37">
        <f t="shared" si="6"/>
        <v>0</v>
      </c>
      <c r="I77" s="37">
        <f t="shared" si="7"/>
        <v>0</v>
      </c>
      <c r="J77" s="48"/>
      <c r="K77" s="48"/>
      <c r="L77" s="48"/>
      <c r="M77" s="48"/>
      <c r="N77" s="48"/>
      <c r="O77" s="48"/>
      <c r="P77" s="48"/>
      <c r="Q77" s="48"/>
      <c r="R77" s="48"/>
      <c r="S77" s="48"/>
    </row>
    <row r="78" spans="1:19" x14ac:dyDescent="0.2">
      <c r="A78" s="37">
        <v>26</v>
      </c>
      <c r="B78" s="37">
        <v>27</v>
      </c>
      <c r="C78" s="37">
        <f t="shared" si="0"/>
        <v>26.5</v>
      </c>
      <c r="D78" s="37">
        <f t="shared" ref="D78:D81" si="12">$B$17/5</f>
        <v>0</v>
      </c>
      <c r="E78" s="37">
        <f t="shared" si="3"/>
        <v>0</v>
      </c>
      <c r="F78" s="37">
        <f t="shared" si="4"/>
        <v>0</v>
      </c>
      <c r="G78" s="37">
        <f t="shared" si="5"/>
        <v>0</v>
      </c>
      <c r="H78" s="37">
        <f t="shared" si="6"/>
        <v>0</v>
      </c>
      <c r="I78" s="37">
        <f t="shared" si="7"/>
        <v>0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</row>
    <row r="79" spans="1:19" x14ac:dyDescent="0.2">
      <c r="A79" s="37">
        <v>27</v>
      </c>
      <c r="B79" s="37">
        <v>28</v>
      </c>
      <c r="C79" s="37">
        <f t="shared" si="0"/>
        <v>27.5</v>
      </c>
      <c r="D79" s="37">
        <f t="shared" si="12"/>
        <v>0</v>
      </c>
      <c r="E79" s="37">
        <f t="shared" si="3"/>
        <v>0</v>
      </c>
      <c r="F79" s="37">
        <f t="shared" si="4"/>
        <v>0</v>
      </c>
      <c r="G79" s="37">
        <f t="shared" si="5"/>
        <v>0</v>
      </c>
      <c r="H79" s="37">
        <f t="shared" si="6"/>
        <v>0</v>
      </c>
      <c r="I79" s="37">
        <f t="shared" si="7"/>
        <v>0</v>
      </c>
      <c r="J79" s="48"/>
      <c r="K79" s="48"/>
      <c r="L79" s="48"/>
      <c r="M79" s="48"/>
      <c r="N79" s="48"/>
      <c r="O79" s="48"/>
      <c r="P79" s="48"/>
      <c r="Q79" s="48"/>
      <c r="R79" s="48"/>
      <c r="S79" s="48"/>
    </row>
    <row r="80" spans="1:19" x14ac:dyDescent="0.2">
      <c r="A80" s="37">
        <v>28</v>
      </c>
      <c r="B80" s="37">
        <v>29</v>
      </c>
      <c r="C80" s="37">
        <f t="shared" si="0"/>
        <v>28.5</v>
      </c>
      <c r="D80" s="37">
        <f t="shared" si="12"/>
        <v>0</v>
      </c>
      <c r="E80" s="37">
        <f t="shared" si="3"/>
        <v>0</v>
      </c>
      <c r="F80" s="37">
        <f t="shared" si="4"/>
        <v>0</v>
      </c>
      <c r="G80" s="37">
        <f t="shared" si="5"/>
        <v>0</v>
      </c>
      <c r="H80" s="37">
        <f t="shared" si="6"/>
        <v>0</v>
      </c>
      <c r="I80" s="37">
        <f t="shared" si="7"/>
        <v>0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</row>
    <row r="81" spans="1:19" x14ac:dyDescent="0.2">
      <c r="A81" s="37">
        <v>29</v>
      </c>
      <c r="B81" s="37">
        <v>30</v>
      </c>
      <c r="C81" s="37">
        <f t="shared" si="0"/>
        <v>29.5</v>
      </c>
      <c r="D81" s="37">
        <f t="shared" si="12"/>
        <v>0</v>
      </c>
      <c r="E81" s="37">
        <f t="shared" si="3"/>
        <v>0</v>
      </c>
      <c r="F81" s="37">
        <f t="shared" si="4"/>
        <v>0</v>
      </c>
      <c r="G81" s="37">
        <f t="shared" si="5"/>
        <v>0</v>
      </c>
      <c r="H81" s="37">
        <f t="shared" si="6"/>
        <v>0</v>
      </c>
      <c r="I81" s="37">
        <f t="shared" si="7"/>
        <v>0</v>
      </c>
      <c r="J81" s="48"/>
      <c r="K81" s="48"/>
      <c r="L81" s="48"/>
      <c r="M81" s="48"/>
      <c r="N81" s="48"/>
      <c r="O81" s="48"/>
      <c r="P81" s="48"/>
      <c r="Q81" s="48"/>
      <c r="R81" s="48"/>
      <c r="S81" s="48"/>
    </row>
    <row r="82" spans="1:19" x14ac:dyDescent="0.2">
      <c r="A82" s="37">
        <v>30</v>
      </c>
      <c r="B82" s="37">
        <v>31</v>
      </c>
      <c r="C82" s="37">
        <f t="shared" si="0"/>
        <v>30.5</v>
      </c>
      <c r="D82" s="37">
        <f>$B$18/5</f>
        <v>0</v>
      </c>
      <c r="E82" s="37">
        <f t="shared" si="3"/>
        <v>0</v>
      </c>
      <c r="F82" s="37">
        <f t="shared" si="4"/>
        <v>0</v>
      </c>
      <c r="G82" s="37">
        <f t="shared" si="5"/>
        <v>0</v>
      </c>
      <c r="H82" s="37">
        <f t="shared" si="6"/>
        <v>0</v>
      </c>
      <c r="I82" s="37">
        <f t="shared" si="7"/>
        <v>0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1:19" x14ac:dyDescent="0.2">
      <c r="A83" s="37">
        <v>31</v>
      </c>
      <c r="B83" s="37">
        <v>32</v>
      </c>
      <c r="C83" s="37">
        <f t="shared" si="0"/>
        <v>31.5</v>
      </c>
      <c r="D83" s="37">
        <f t="shared" ref="D83:D86" si="13">$B$18/5</f>
        <v>0</v>
      </c>
      <c r="E83" s="37">
        <f t="shared" si="3"/>
        <v>0</v>
      </c>
      <c r="F83" s="37">
        <f t="shared" si="4"/>
        <v>0</v>
      </c>
      <c r="G83" s="37">
        <f t="shared" si="5"/>
        <v>0</v>
      </c>
      <c r="H83" s="37">
        <f t="shared" si="6"/>
        <v>0</v>
      </c>
      <c r="I83" s="37">
        <f t="shared" si="7"/>
        <v>0</v>
      </c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1:19" x14ac:dyDescent="0.2">
      <c r="A84" s="37">
        <v>32</v>
      </c>
      <c r="B84" s="37">
        <v>33</v>
      </c>
      <c r="C84" s="37">
        <f t="shared" ref="C84:C115" si="14">A84+(B84-A84)/2</f>
        <v>32.5</v>
      </c>
      <c r="D84" s="37">
        <f t="shared" si="13"/>
        <v>0</v>
      </c>
      <c r="E84" s="37">
        <f t="shared" si="3"/>
        <v>0</v>
      </c>
      <c r="F84" s="37">
        <f t="shared" si="4"/>
        <v>0</v>
      </c>
      <c r="G84" s="37">
        <f t="shared" si="5"/>
        <v>0</v>
      </c>
      <c r="H84" s="37">
        <f t="shared" si="6"/>
        <v>0</v>
      </c>
      <c r="I84" s="37">
        <f t="shared" si="7"/>
        <v>0</v>
      </c>
      <c r="J84" s="48"/>
      <c r="K84" s="48"/>
      <c r="L84" s="48"/>
      <c r="M84" s="48"/>
      <c r="N84" s="48"/>
      <c r="O84" s="48"/>
      <c r="P84" s="48"/>
      <c r="Q84" s="48"/>
      <c r="R84" s="48"/>
      <c r="S84" s="48"/>
    </row>
    <row r="85" spans="1:19" x14ac:dyDescent="0.2">
      <c r="A85" s="37">
        <v>33</v>
      </c>
      <c r="B85" s="37">
        <v>34</v>
      </c>
      <c r="C85" s="37">
        <f t="shared" si="14"/>
        <v>33.5</v>
      </c>
      <c r="D85" s="37">
        <f t="shared" si="13"/>
        <v>0</v>
      </c>
      <c r="E85" s="37">
        <f t="shared" si="3"/>
        <v>0</v>
      </c>
      <c r="F85" s="37">
        <f t="shared" si="4"/>
        <v>0</v>
      </c>
      <c r="G85" s="37">
        <f t="shared" si="5"/>
        <v>0</v>
      </c>
      <c r="H85" s="37">
        <f t="shared" si="6"/>
        <v>0</v>
      </c>
      <c r="I85" s="37">
        <f t="shared" si="7"/>
        <v>0</v>
      </c>
      <c r="J85" s="48"/>
      <c r="K85" s="48"/>
      <c r="L85" s="48"/>
      <c r="M85" s="48"/>
      <c r="N85" s="48"/>
      <c r="O85" s="48"/>
      <c r="P85" s="48"/>
      <c r="Q85" s="48"/>
      <c r="R85" s="48"/>
      <c r="S85" s="48"/>
    </row>
    <row r="86" spans="1:19" x14ac:dyDescent="0.2">
      <c r="A86" s="37">
        <v>34</v>
      </c>
      <c r="B86" s="37">
        <v>35</v>
      </c>
      <c r="C86" s="37">
        <f t="shared" si="14"/>
        <v>34.5</v>
      </c>
      <c r="D86" s="37">
        <f t="shared" si="13"/>
        <v>0</v>
      </c>
      <c r="E86" s="37">
        <f t="shared" si="3"/>
        <v>0</v>
      </c>
      <c r="F86" s="37">
        <f t="shared" si="4"/>
        <v>0</v>
      </c>
      <c r="G86" s="37">
        <f t="shared" si="5"/>
        <v>0</v>
      </c>
      <c r="H86" s="37">
        <f t="shared" si="6"/>
        <v>0</v>
      </c>
      <c r="I86" s="37">
        <f t="shared" si="7"/>
        <v>0</v>
      </c>
      <c r="J86" s="48"/>
      <c r="K86" s="48"/>
      <c r="L86" s="48"/>
      <c r="M86" s="48"/>
      <c r="N86" s="48"/>
      <c r="O86" s="48"/>
      <c r="P86" s="48"/>
      <c r="Q86" s="48"/>
      <c r="R86" s="48"/>
      <c r="S86" s="48"/>
    </row>
    <row r="87" spans="1:19" x14ac:dyDescent="0.2">
      <c r="A87" s="37">
        <v>35</v>
      </c>
      <c r="B87" s="37">
        <v>36</v>
      </c>
      <c r="C87" s="37">
        <f t="shared" si="14"/>
        <v>35.5</v>
      </c>
      <c r="D87" s="37">
        <f>$B$19/5</f>
        <v>0</v>
      </c>
      <c r="E87" s="37">
        <f t="shared" si="3"/>
        <v>0</v>
      </c>
      <c r="F87" s="37">
        <f t="shared" si="4"/>
        <v>0</v>
      </c>
      <c r="G87" s="37">
        <f t="shared" si="5"/>
        <v>0</v>
      </c>
      <c r="H87" s="37">
        <f t="shared" si="6"/>
        <v>0</v>
      </c>
      <c r="I87" s="37">
        <f t="shared" si="7"/>
        <v>0</v>
      </c>
      <c r="J87" s="48"/>
      <c r="K87" s="48"/>
      <c r="L87" s="48"/>
      <c r="M87" s="48"/>
      <c r="N87" s="48"/>
      <c r="O87" s="48"/>
      <c r="P87" s="48"/>
      <c r="Q87" s="48"/>
      <c r="R87" s="48"/>
      <c r="S87" s="48"/>
    </row>
    <row r="88" spans="1:19" x14ac:dyDescent="0.2">
      <c r="A88" s="37">
        <v>36</v>
      </c>
      <c r="B88" s="37">
        <v>37</v>
      </c>
      <c r="C88" s="37">
        <f t="shared" si="14"/>
        <v>36.5</v>
      </c>
      <c r="D88" s="37">
        <f t="shared" ref="D88:D91" si="15">$B$19/5</f>
        <v>0</v>
      </c>
      <c r="E88" s="37">
        <f t="shared" si="3"/>
        <v>0</v>
      </c>
      <c r="F88" s="37">
        <f t="shared" si="4"/>
        <v>0</v>
      </c>
      <c r="G88" s="37">
        <f t="shared" si="5"/>
        <v>0</v>
      </c>
      <c r="H88" s="37">
        <f t="shared" si="6"/>
        <v>0</v>
      </c>
      <c r="I88" s="37">
        <f t="shared" si="7"/>
        <v>0</v>
      </c>
      <c r="J88" s="48"/>
      <c r="K88" s="48"/>
      <c r="L88" s="48"/>
      <c r="M88" s="48"/>
      <c r="N88" s="48"/>
      <c r="O88" s="48"/>
      <c r="P88" s="48"/>
      <c r="Q88" s="48"/>
      <c r="R88" s="48"/>
      <c r="S88" s="48"/>
    </row>
    <row r="89" spans="1:19" x14ac:dyDescent="0.2">
      <c r="A89" s="37">
        <v>37</v>
      </c>
      <c r="B89" s="37">
        <v>38</v>
      </c>
      <c r="C89" s="37">
        <f t="shared" si="14"/>
        <v>37.5</v>
      </c>
      <c r="D89" s="37">
        <f t="shared" si="15"/>
        <v>0</v>
      </c>
      <c r="E89" s="37">
        <f t="shared" si="3"/>
        <v>0</v>
      </c>
      <c r="F89" s="37">
        <f t="shared" si="4"/>
        <v>0</v>
      </c>
      <c r="G89" s="37">
        <f t="shared" si="5"/>
        <v>0</v>
      </c>
      <c r="H89" s="37">
        <f t="shared" si="6"/>
        <v>0</v>
      </c>
      <c r="I89" s="37">
        <f t="shared" si="7"/>
        <v>0</v>
      </c>
      <c r="J89" s="48"/>
      <c r="K89" s="48"/>
      <c r="L89" s="48"/>
      <c r="M89" s="48"/>
      <c r="N89" s="48"/>
      <c r="O89" s="48"/>
      <c r="P89" s="48"/>
      <c r="Q89" s="48"/>
      <c r="R89" s="48"/>
      <c r="S89" s="48"/>
    </row>
    <row r="90" spans="1:19" x14ac:dyDescent="0.2">
      <c r="A90" s="37">
        <v>38</v>
      </c>
      <c r="B90" s="37">
        <v>39</v>
      </c>
      <c r="C90" s="37">
        <f t="shared" si="14"/>
        <v>38.5</v>
      </c>
      <c r="D90" s="37">
        <f t="shared" si="15"/>
        <v>0</v>
      </c>
      <c r="E90" s="37">
        <f t="shared" si="3"/>
        <v>0</v>
      </c>
      <c r="F90" s="37">
        <f t="shared" si="4"/>
        <v>0</v>
      </c>
      <c r="G90" s="37">
        <f t="shared" si="5"/>
        <v>0</v>
      </c>
      <c r="H90" s="37">
        <f t="shared" si="6"/>
        <v>0</v>
      </c>
      <c r="I90" s="37">
        <f t="shared" si="7"/>
        <v>0</v>
      </c>
      <c r="J90" s="48"/>
      <c r="K90" s="48"/>
      <c r="L90" s="48"/>
      <c r="M90" s="48"/>
      <c r="N90" s="48"/>
      <c r="O90" s="48"/>
      <c r="P90" s="48"/>
      <c r="Q90" s="48"/>
      <c r="R90" s="48"/>
      <c r="S90" s="48"/>
    </row>
    <row r="91" spans="1:19" x14ac:dyDescent="0.2">
      <c r="A91" s="37">
        <v>39</v>
      </c>
      <c r="B91" s="37">
        <v>40</v>
      </c>
      <c r="C91" s="37">
        <f t="shared" si="14"/>
        <v>39.5</v>
      </c>
      <c r="D91" s="37">
        <f t="shared" si="15"/>
        <v>0</v>
      </c>
      <c r="E91" s="37">
        <f t="shared" si="3"/>
        <v>0</v>
      </c>
      <c r="F91" s="37">
        <f t="shared" si="4"/>
        <v>0</v>
      </c>
      <c r="G91" s="37">
        <f t="shared" si="5"/>
        <v>0</v>
      </c>
      <c r="H91" s="37">
        <f t="shared" si="6"/>
        <v>0</v>
      </c>
      <c r="I91" s="37">
        <f t="shared" si="7"/>
        <v>0</v>
      </c>
      <c r="J91" s="48"/>
      <c r="K91" s="48"/>
      <c r="L91" s="48"/>
      <c r="M91" s="48"/>
      <c r="N91" s="48"/>
      <c r="O91" s="48"/>
      <c r="P91" s="48"/>
      <c r="Q91" s="48"/>
      <c r="R91" s="48"/>
      <c r="S91" s="48"/>
    </row>
    <row r="92" spans="1:19" x14ac:dyDescent="0.2">
      <c r="A92" s="37">
        <v>40</v>
      </c>
      <c r="B92" s="37">
        <v>41</v>
      </c>
      <c r="C92" s="37">
        <f t="shared" si="14"/>
        <v>40.5</v>
      </c>
      <c r="D92" s="37">
        <f>$B$20/5</f>
        <v>0</v>
      </c>
      <c r="E92" s="37">
        <f t="shared" si="3"/>
        <v>0</v>
      </c>
      <c r="F92" s="37">
        <f t="shared" si="4"/>
        <v>0</v>
      </c>
      <c r="G92" s="37">
        <f t="shared" si="5"/>
        <v>0</v>
      </c>
      <c r="H92" s="37">
        <f t="shared" si="6"/>
        <v>0</v>
      </c>
      <c r="I92" s="37">
        <f t="shared" si="7"/>
        <v>0</v>
      </c>
      <c r="J92" s="48"/>
      <c r="K92" s="48"/>
      <c r="L92" s="48"/>
      <c r="M92" s="48"/>
      <c r="N92" s="48"/>
      <c r="O92" s="48"/>
      <c r="P92" s="48"/>
      <c r="Q92" s="48"/>
      <c r="R92" s="48"/>
      <c r="S92" s="48"/>
    </row>
    <row r="93" spans="1:19" x14ac:dyDescent="0.2">
      <c r="A93" s="37">
        <v>41</v>
      </c>
      <c r="B93" s="37">
        <v>42</v>
      </c>
      <c r="C93" s="37">
        <f t="shared" si="14"/>
        <v>41.5</v>
      </c>
      <c r="D93" s="37">
        <f t="shared" ref="D93:D96" si="16">$B$20/5</f>
        <v>0</v>
      </c>
      <c r="E93" s="37">
        <f t="shared" si="3"/>
        <v>0</v>
      </c>
      <c r="F93" s="37">
        <f t="shared" si="4"/>
        <v>0</v>
      </c>
      <c r="G93" s="37">
        <f t="shared" si="5"/>
        <v>0</v>
      </c>
      <c r="H93" s="37">
        <f t="shared" si="6"/>
        <v>0</v>
      </c>
      <c r="I93" s="37">
        <f t="shared" si="7"/>
        <v>0</v>
      </c>
      <c r="J93" s="48"/>
      <c r="K93" s="48"/>
      <c r="L93" s="48"/>
      <c r="M93" s="48"/>
      <c r="N93" s="48"/>
      <c r="O93" s="48"/>
      <c r="P93" s="48"/>
      <c r="Q93" s="48"/>
      <c r="R93" s="48"/>
      <c r="S93" s="48"/>
    </row>
    <row r="94" spans="1:19" x14ac:dyDescent="0.2">
      <c r="A94" s="37">
        <v>42</v>
      </c>
      <c r="B94" s="37">
        <v>43</v>
      </c>
      <c r="C94" s="37">
        <f t="shared" si="14"/>
        <v>42.5</v>
      </c>
      <c r="D94" s="37">
        <f t="shared" si="16"/>
        <v>0</v>
      </c>
      <c r="E94" s="37">
        <f t="shared" si="3"/>
        <v>0</v>
      </c>
      <c r="F94" s="37">
        <f t="shared" si="4"/>
        <v>0</v>
      </c>
      <c r="G94" s="37">
        <f t="shared" si="5"/>
        <v>0</v>
      </c>
      <c r="H94" s="37">
        <f t="shared" si="6"/>
        <v>0</v>
      </c>
      <c r="I94" s="37">
        <f t="shared" si="7"/>
        <v>0</v>
      </c>
      <c r="J94" s="48"/>
      <c r="K94" s="48"/>
      <c r="L94" s="48"/>
      <c r="M94" s="48"/>
      <c r="N94" s="48"/>
      <c r="O94" s="48"/>
      <c r="P94" s="48"/>
      <c r="Q94" s="48"/>
      <c r="R94" s="48"/>
      <c r="S94" s="48"/>
    </row>
    <row r="95" spans="1:19" x14ac:dyDescent="0.2">
      <c r="A95" s="37">
        <v>43</v>
      </c>
      <c r="B95" s="37">
        <v>44</v>
      </c>
      <c r="C95" s="37">
        <f t="shared" si="14"/>
        <v>43.5</v>
      </c>
      <c r="D95" s="37">
        <f t="shared" si="16"/>
        <v>0</v>
      </c>
      <c r="E95" s="37">
        <f t="shared" si="3"/>
        <v>0</v>
      </c>
      <c r="F95" s="37">
        <f t="shared" si="4"/>
        <v>0</v>
      </c>
      <c r="G95" s="37">
        <f t="shared" si="5"/>
        <v>0</v>
      </c>
      <c r="H95" s="37">
        <f t="shared" si="6"/>
        <v>0</v>
      </c>
      <c r="I95" s="37">
        <f t="shared" si="7"/>
        <v>0</v>
      </c>
      <c r="J95" s="48"/>
      <c r="K95" s="48"/>
      <c r="L95" s="48"/>
      <c r="M95" s="48"/>
      <c r="N95" s="48"/>
      <c r="O95" s="48"/>
      <c r="P95" s="48"/>
      <c r="Q95" s="48"/>
      <c r="R95" s="48"/>
      <c r="S95" s="48"/>
    </row>
    <row r="96" spans="1:19" x14ac:dyDescent="0.2">
      <c r="A96" s="37">
        <v>44</v>
      </c>
      <c r="B96" s="37">
        <v>45</v>
      </c>
      <c r="C96" s="37">
        <f t="shared" si="14"/>
        <v>44.5</v>
      </c>
      <c r="D96" s="37">
        <f t="shared" si="16"/>
        <v>0</v>
      </c>
      <c r="E96" s="37">
        <f t="shared" si="3"/>
        <v>0</v>
      </c>
      <c r="F96" s="37">
        <f t="shared" si="4"/>
        <v>0</v>
      </c>
      <c r="G96" s="37">
        <f t="shared" si="5"/>
        <v>0</v>
      </c>
      <c r="H96" s="37">
        <f t="shared" si="6"/>
        <v>0</v>
      </c>
      <c r="I96" s="37">
        <f t="shared" si="7"/>
        <v>0</v>
      </c>
      <c r="J96" s="37"/>
    </row>
    <row r="97" spans="1:10" x14ac:dyDescent="0.2">
      <c r="A97" s="37">
        <v>45</v>
      </c>
      <c r="B97" s="37">
        <v>46</v>
      </c>
      <c r="C97" s="37">
        <f t="shared" si="14"/>
        <v>45.5</v>
      </c>
      <c r="D97" s="37">
        <f>$B$21/5</f>
        <v>0</v>
      </c>
      <c r="E97" s="37">
        <f t="shared" si="3"/>
        <v>0</v>
      </c>
      <c r="F97" s="37">
        <f t="shared" si="4"/>
        <v>0</v>
      </c>
      <c r="G97" s="37">
        <f t="shared" si="5"/>
        <v>0</v>
      </c>
      <c r="H97" s="37">
        <f t="shared" si="6"/>
        <v>0</v>
      </c>
      <c r="I97" s="37">
        <f t="shared" si="7"/>
        <v>0</v>
      </c>
      <c r="J97" s="37"/>
    </row>
    <row r="98" spans="1:10" x14ac:dyDescent="0.2">
      <c r="A98" s="37">
        <v>46</v>
      </c>
      <c r="B98" s="37">
        <v>47</v>
      </c>
      <c r="C98" s="37">
        <f t="shared" si="14"/>
        <v>46.5</v>
      </c>
      <c r="D98" s="37">
        <f t="shared" ref="D98:D101" si="17">$B$21/5</f>
        <v>0</v>
      </c>
      <c r="E98" s="37">
        <f t="shared" si="3"/>
        <v>0</v>
      </c>
      <c r="F98" s="37">
        <f t="shared" si="4"/>
        <v>0</v>
      </c>
      <c r="G98" s="37">
        <f t="shared" si="5"/>
        <v>0</v>
      </c>
      <c r="H98" s="37">
        <f t="shared" si="6"/>
        <v>0</v>
      </c>
      <c r="I98" s="37">
        <f t="shared" si="7"/>
        <v>0</v>
      </c>
      <c r="J98" s="37"/>
    </row>
    <row r="99" spans="1:10" x14ac:dyDescent="0.2">
      <c r="A99" s="37">
        <v>47</v>
      </c>
      <c r="B99" s="37">
        <v>48</v>
      </c>
      <c r="C99" s="37">
        <f t="shared" si="14"/>
        <v>47.5</v>
      </c>
      <c r="D99" s="37">
        <f t="shared" si="17"/>
        <v>0</v>
      </c>
      <c r="E99" s="37">
        <f t="shared" si="3"/>
        <v>0</v>
      </c>
      <c r="F99" s="37">
        <f t="shared" si="4"/>
        <v>0</v>
      </c>
      <c r="G99" s="37">
        <f t="shared" si="5"/>
        <v>0</v>
      </c>
      <c r="H99" s="37">
        <f t="shared" si="6"/>
        <v>0</v>
      </c>
      <c r="I99" s="37">
        <f t="shared" si="7"/>
        <v>0</v>
      </c>
      <c r="J99" s="37"/>
    </row>
    <row r="100" spans="1:10" x14ac:dyDescent="0.2">
      <c r="A100" s="37">
        <v>48</v>
      </c>
      <c r="B100" s="37">
        <v>49</v>
      </c>
      <c r="C100" s="37">
        <f t="shared" si="14"/>
        <v>48.5</v>
      </c>
      <c r="D100" s="37">
        <f t="shared" si="17"/>
        <v>0</v>
      </c>
      <c r="E100" s="37">
        <f t="shared" si="3"/>
        <v>0</v>
      </c>
      <c r="F100" s="37">
        <f t="shared" si="4"/>
        <v>0</v>
      </c>
      <c r="G100" s="37">
        <f t="shared" si="5"/>
        <v>0</v>
      </c>
      <c r="H100" s="37">
        <f t="shared" si="6"/>
        <v>0</v>
      </c>
      <c r="I100" s="37">
        <f t="shared" si="7"/>
        <v>0</v>
      </c>
      <c r="J100" s="37"/>
    </row>
    <row r="101" spans="1:10" x14ac:dyDescent="0.2">
      <c r="A101" s="37">
        <v>49</v>
      </c>
      <c r="B101" s="37">
        <v>50</v>
      </c>
      <c r="C101" s="37">
        <f t="shared" si="14"/>
        <v>49.5</v>
      </c>
      <c r="D101" s="37">
        <f t="shared" si="17"/>
        <v>0</v>
      </c>
      <c r="E101" s="37">
        <f t="shared" si="3"/>
        <v>0</v>
      </c>
      <c r="F101" s="37">
        <f t="shared" si="4"/>
        <v>0</v>
      </c>
      <c r="G101" s="37">
        <f t="shared" si="5"/>
        <v>0</v>
      </c>
      <c r="H101" s="37">
        <f t="shared" si="6"/>
        <v>0</v>
      </c>
      <c r="I101" s="37">
        <f t="shared" si="7"/>
        <v>0</v>
      </c>
      <c r="J101" s="37"/>
    </row>
    <row r="102" spans="1:10" x14ac:dyDescent="0.2">
      <c r="A102" s="37">
        <v>50</v>
      </c>
      <c r="B102" s="37">
        <v>51</v>
      </c>
      <c r="C102" s="37">
        <f t="shared" si="14"/>
        <v>50.5</v>
      </c>
      <c r="D102" s="37">
        <f>$B$22/5</f>
        <v>0</v>
      </c>
      <c r="E102" s="37">
        <f t="shared" si="3"/>
        <v>0</v>
      </c>
      <c r="F102" s="37">
        <f t="shared" si="4"/>
        <v>0</v>
      </c>
      <c r="G102" s="37">
        <f t="shared" si="5"/>
        <v>0</v>
      </c>
      <c r="H102" s="37">
        <f t="shared" si="6"/>
        <v>0</v>
      </c>
      <c r="I102" s="37">
        <f t="shared" si="7"/>
        <v>0</v>
      </c>
      <c r="J102" s="37"/>
    </row>
    <row r="103" spans="1:10" x14ac:dyDescent="0.2">
      <c r="A103" s="37">
        <v>51</v>
      </c>
      <c r="B103" s="37">
        <v>52</v>
      </c>
      <c r="C103" s="37">
        <f t="shared" si="14"/>
        <v>51.5</v>
      </c>
      <c r="D103" s="37">
        <f t="shared" ref="D103:D106" si="18">$B$22/5</f>
        <v>0</v>
      </c>
      <c r="E103" s="37">
        <f t="shared" si="3"/>
        <v>0</v>
      </c>
      <c r="F103" s="37">
        <f t="shared" si="4"/>
        <v>0</v>
      </c>
      <c r="G103" s="37">
        <f t="shared" si="5"/>
        <v>0</v>
      </c>
      <c r="H103" s="37">
        <f t="shared" si="6"/>
        <v>0</v>
      </c>
      <c r="I103" s="37">
        <f t="shared" si="7"/>
        <v>0</v>
      </c>
      <c r="J103" s="37"/>
    </row>
    <row r="104" spans="1:10" x14ac:dyDescent="0.2">
      <c r="A104" s="37">
        <v>52</v>
      </c>
      <c r="B104" s="37">
        <v>53</v>
      </c>
      <c r="C104" s="37">
        <f t="shared" si="14"/>
        <v>52.5</v>
      </c>
      <c r="D104" s="37">
        <f t="shared" si="18"/>
        <v>0</v>
      </c>
      <c r="E104" s="37">
        <f t="shared" si="3"/>
        <v>0</v>
      </c>
      <c r="F104" s="37">
        <f t="shared" si="4"/>
        <v>0</v>
      </c>
      <c r="G104" s="37">
        <f t="shared" si="5"/>
        <v>0</v>
      </c>
      <c r="H104" s="37">
        <f t="shared" si="6"/>
        <v>0</v>
      </c>
      <c r="I104" s="37">
        <f t="shared" si="7"/>
        <v>0</v>
      </c>
      <c r="J104" s="37"/>
    </row>
    <row r="105" spans="1:10" x14ac:dyDescent="0.2">
      <c r="A105" s="37">
        <v>53</v>
      </c>
      <c r="B105" s="37">
        <v>54</v>
      </c>
      <c r="C105" s="37">
        <f t="shared" si="14"/>
        <v>53.5</v>
      </c>
      <c r="D105" s="37">
        <f t="shared" si="18"/>
        <v>0</v>
      </c>
      <c r="E105" s="37">
        <f t="shared" si="3"/>
        <v>0</v>
      </c>
      <c r="F105" s="37">
        <f t="shared" si="4"/>
        <v>0</v>
      </c>
      <c r="G105" s="37">
        <f t="shared" si="5"/>
        <v>0</v>
      </c>
      <c r="H105" s="37">
        <f t="shared" si="6"/>
        <v>0</v>
      </c>
      <c r="I105" s="37">
        <f t="shared" si="7"/>
        <v>0</v>
      </c>
      <c r="J105" s="37"/>
    </row>
    <row r="106" spans="1:10" x14ac:dyDescent="0.2">
      <c r="A106" s="37">
        <v>54</v>
      </c>
      <c r="B106" s="37">
        <v>55</v>
      </c>
      <c r="C106" s="37">
        <f t="shared" si="14"/>
        <v>54.5</v>
      </c>
      <c r="D106" s="37">
        <f t="shared" si="18"/>
        <v>0</v>
      </c>
      <c r="E106" s="37">
        <f t="shared" si="3"/>
        <v>0</v>
      </c>
      <c r="F106" s="37">
        <f t="shared" si="4"/>
        <v>0</v>
      </c>
      <c r="G106" s="37">
        <f t="shared" si="5"/>
        <v>0</v>
      </c>
      <c r="H106" s="37">
        <f t="shared" si="6"/>
        <v>0</v>
      </c>
      <c r="I106" s="37">
        <f t="shared" si="7"/>
        <v>0</v>
      </c>
      <c r="J106" s="37"/>
    </row>
    <row r="107" spans="1:10" x14ac:dyDescent="0.2">
      <c r="A107" s="37">
        <v>55</v>
      </c>
      <c r="B107" s="37">
        <v>56</v>
      </c>
      <c r="C107" s="37">
        <f t="shared" si="14"/>
        <v>55.5</v>
      </c>
      <c r="D107" s="37">
        <f>$B$23/5</f>
        <v>0</v>
      </c>
      <c r="E107" s="37">
        <f t="shared" si="3"/>
        <v>0</v>
      </c>
      <c r="F107" s="37">
        <f t="shared" si="4"/>
        <v>0</v>
      </c>
      <c r="G107" s="37">
        <f t="shared" si="5"/>
        <v>0</v>
      </c>
      <c r="H107" s="37">
        <f t="shared" si="6"/>
        <v>0</v>
      </c>
      <c r="I107" s="37">
        <f t="shared" si="7"/>
        <v>0</v>
      </c>
      <c r="J107" s="37"/>
    </row>
    <row r="108" spans="1:10" x14ac:dyDescent="0.2">
      <c r="A108" s="37">
        <v>56</v>
      </c>
      <c r="B108" s="37">
        <v>57</v>
      </c>
      <c r="C108" s="37">
        <f t="shared" si="14"/>
        <v>56.5</v>
      </c>
      <c r="D108" s="37">
        <f t="shared" ref="D108:D111" si="19">$B$23/5</f>
        <v>0</v>
      </c>
      <c r="E108" s="37">
        <f t="shared" si="3"/>
        <v>0</v>
      </c>
      <c r="F108" s="37">
        <f t="shared" si="4"/>
        <v>0</v>
      </c>
      <c r="G108" s="37">
        <f t="shared" si="5"/>
        <v>0</v>
      </c>
      <c r="H108" s="37">
        <f t="shared" si="6"/>
        <v>0</v>
      </c>
      <c r="I108" s="37">
        <f t="shared" si="7"/>
        <v>0</v>
      </c>
      <c r="J108" s="37"/>
    </row>
    <row r="109" spans="1:10" x14ac:dyDescent="0.2">
      <c r="A109" s="37">
        <v>57</v>
      </c>
      <c r="B109" s="37">
        <v>58</v>
      </c>
      <c r="C109" s="37">
        <f t="shared" si="14"/>
        <v>57.5</v>
      </c>
      <c r="D109" s="37">
        <f t="shared" si="19"/>
        <v>0</v>
      </c>
      <c r="E109" s="37">
        <f t="shared" si="3"/>
        <v>0</v>
      </c>
      <c r="F109" s="37">
        <f t="shared" si="4"/>
        <v>0</v>
      </c>
      <c r="G109" s="37">
        <f t="shared" si="5"/>
        <v>0</v>
      </c>
      <c r="H109" s="37">
        <f t="shared" si="6"/>
        <v>0</v>
      </c>
      <c r="I109" s="37">
        <f t="shared" si="7"/>
        <v>0</v>
      </c>
      <c r="J109" s="37"/>
    </row>
    <row r="110" spans="1:10" x14ac:dyDescent="0.2">
      <c r="A110" s="37">
        <v>58</v>
      </c>
      <c r="B110" s="37">
        <v>59</v>
      </c>
      <c r="C110" s="37">
        <f t="shared" si="14"/>
        <v>58.5</v>
      </c>
      <c r="D110" s="37">
        <f t="shared" si="19"/>
        <v>0</v>
      </c>
      <c r="E110" s="37">
        <f t="shared" si="3"/>
        <v>0</v>
      </c>
      <c r="F110" s="37">
        <f t="shared" si="4"/>
        <v>0</v>
      </c>
      <c r="G110" s="37">
        <f t="shared" si="5"/>
        <v>0</v>
      </c>
      <c r="H110" s="37">
        <f t="shared" si="6"/>
        <v>0</v>
      </c>
      <c r="I110" s="37">
        <f t="shared" si="7"/>
        <v>0</v>
      </c>
      <c r="J110" s="37"/>
    </row>
    <row r="111" spans="1:10" x14ac:dyDescent="0.2">
      <c r="A111" s="37">
        <v>59</v>
      </c>
      <c r="B111" s="37">
        <v>60</v>
      </c>
      <c r="C111" s="37">
        <f t="shared" si="14"/>
        <v>59.5</v>
      </c>
      <c r="D111" s="37">
        <f t="shared" si="19"/>
        <v>0</v>
      </c>
      <c r="E111" s="37">
        <f t="shared" si="3"/>
        <v>0</v>
      </c>
      <c r="F111" s="37">
        <f t="shared" si="4"/>
        <v>0</v>
      </c>
      <c r="G111" s="37">
        <f t="shared" si="5"/>
        <v>0</v>
      </c>
      <c r="H111" s="37">
        <f t="shared" si="6"/>
        <v>0</v>
      </c>
      <c r="I111" s="37">
        <f t="shared" si="7"/>
        <v>0</v>
      </c>
      <c r="J111" s="37"/>
    </row>
    <row r="112" spans="1:10" x14ac:dyDescent="0.2">
      <c r="A112" s="37">
        <v>60</v>
      </c>
      <c r="B112" s="37">
        <v>61</v>
      </c>
      <c r="C112" s="37">
        <f t="shared" si="14"/>
        <v>60.5</v>
      </c>
      <c r="D112" s="37">
        <f>$B$24/5</f>
        <v>0</v>
      </c>
      <c r="E112" s="37">
        <f t="shared" si="3"/>
        <v>0</v>
      </c>
      <c r="F112" s="37">
        <f t="shared" si="4"/>
        <v>0</v>
      </c>
      <c r="G112" s="37">
        <f t="shared" si="5"/>
        <v>0</v>
      </c>
      <c r="H112" s="37">
        <f t="shared" si="6"/>
        <v>0</v>
      </c>
      <c r="I112" s="37">
        <f t="shared" si="7"/>
        <v>0</v>
      </c>
      <c r="J112" s="37"/>
    </row>
    <row r="113" spans="1:10" x14ac:dyDescent="0.2">
      <c r="A113" s="37">
        <v>61</v>
      </c>
      <c r="B113" s="37">
        <v>62</v>
      </c>
      <c r="C113" s="37">
        <f t="shared" si="14"/>
        <v>61.5</v>
      </c>
      <c r="D113" s="37">
        <f t="shared" ref="D113:D116" si="20">$B$24/5</f>
        <v>0</v>
      </c>
      <c r="E113" s="37">
        <f t="shared" si="3"/>
        <v>0</v>
      </c>
      <c r="F113" s="37">
        <f t="shared" si="4"/>
        <v>0</v>
      </c>
      <c r="G113" s="37">
        <f t="shared" si="5"/>
        <v>0</v>
      </c>
      <c r="H113" s="37">
        <f t="shared" si="6"/>
        <v>0</v>
      </c>
      <c r="I113" s="37">
        <f t="shared" si="7"/>
        <v>0</v>
      </c>
      <c r="J113" s="37"/>
    </row>
    <row r="114" spans="1:10" x14ac:dyDescent="0.2">
      <c r="A114" s="37">
        <v>62</v>
      </c>
      <c r="B114" s="37">
        <v>63</v>
      </c>
      <c r="C114" s="37">
        <f t="shared" si="14"/>
        <v>62.5</v>
      </c>
      <c r="D114" s="37">
        <f t="shared" si="20"/>
        <v>0</v>
      </c>
      <c r="E114" s="37">
        <f t="shared" si="3"/>
        <v>0</v>
      </c>
      <c r="F114" s="37">
        <f t="shared" si="4"/>
        <v>0</v>
      </c>
      <c r="G114" s="37">
        <f t="shared" si="5"/>
        <v>0</v>
      </c>
      <c r="H114" s="37">
        <f t="shared" si="6"/>
        <v>0</v>
      </c>
      <c r="I114" s="37">
        <f t="shared" si="7"/>
        <v>0</v>
      </c>
      <c r="J114" s="37"/>
    </row>
    <row r="115" spans="1:10" x14ac:dyDescent="0.2">
      <c r="A115" s="37">
        <v>63</v>
      </c>
      <c r="B115" s="37">
        <v>64</v>
      </c>
      <c r="C115" s="37">
        <f t="shared" si="14"/>
        <v>63.5</v>
      </c>
      <c r="D115" s="37">
        <f t="shared" si="20"/>
        <v>0</v>
      </c>
      <c r="E115" s="37">
        <f t="shared" si="3"/>
        <v>0</v>
      </c>
      <c r="F115" s="37">
        <f t="shared" si="4"/>
        <v>0</v>
      </c>
      <c r="G115" s="37">
        <f t="shared" si="5"/>
        <v>0</v>
      </c>
      <c r="H115" s="37">
        <f t="shared" si="6"/>
        <v>0</v>
      </c>
      <c r="I115" s="37">
        <f t="shared" si="7"/>
        <v>0</v>
      </c>
      <c r="J115" s="37"/>
    </row>
    <row r="116" spans="1:10" x14ac:dyDescent="0.2">
      <c r="A116" s="37">
        <v>64</v>
      </c>
      <c r="B116" s="37">
        <v>65</v>
      </c>
      <c r="C116" s="37">
        <f t="shared" ref="C116:C147" si="21">A116+(B116-A116)/2</f>
        <v>64.5</v>
      </c>
      <c r="D116" s="37">
        <f t="shared" si="20"/>
        <v>0</v>
      </c>
      <c r="E116" s="37">
        <f t="shared" si="3"/>
        <v>0</v>
      </c>
      <c r="F116" s="37">
        <f t="shared" si="4"/>
        <v>0</v>
      </c>
      <c r="G116" s="37">
        <f t="shared" si="5"/>
        <v>0</v>
      </c>
      <c r="H116" s="37">
        <f t="shared" si="6"/>
        <v>0</v>
      </c>
      <c r="I116" s="37">
        <f t="shared" si="7"/>
        <v>0</v>
      </c>
      <c r="J116" s="37"/>
    </row>
    <row r="117" spans="1:10" x14ac:dyDescent="0.2">
      <c r="A117" s="37">
        <v>65</v>
      </c>
      <c r="B117" s="37">
        <v>66</v>
      </c>
      <c r="C117" s="37">
        <f t="shared" si="21"/>
        <v>65.5</v>
      </c>
      <c r="D117" s="37">
        <f>$B$25/5</f>
        <v>0</v>
      </c>
      <c r="E117" s="37">
        <f t="shared" ref="E117:E152" si="22">D117*(4*EXP(-$C$5*A117)-4*EXP(-$C$5*B117))</f>
        <v>0</v>
      </c>
      <c r="F117" s="37">
        <f t="shared" ref="F117:F152" si="23">$D117*(4*EXP(-D$5*$A117)-4*EXP(-D$5*$B117))</f>
        <v>0</v>
      </c>
      <c r="G117" s="37">
        <f t="shared" ref="G117:G152" si="24">$D117*(4*EXP(-E$5*$A117)-4*EXP(-E$5*$B117))</f>
        <v>0</v>
      </c>
      <c r="H117" s="37">
        <f t="shared" ref="H117:H152" si="25">$D117*(4*EXP(-F$5*$A117)-4*EXP(-F$5*$B117))</f>
        <v>0</v>
      </c>
      <c r="I117" s="37">
        <f t="shared" ref="I117:I152" si="26">$D117*(4*EXP(-G$5*$A117)-4*EXP(-G$5*$B117))</f>
        <v>0</v>
      </c>
      <c r="J117" s="37"/>
    </row>
    <row r="118" spans="1:10" x14ac:dyDescent="0.2">
      <c r="A118" s="37">
        <v>66</v>
      </c>
      <c r="B118" s="37">
        <v>67</v>
      </c>
      <c r="C118" s="37">
        <f t="shared" si="21"/>
        <v>66.5</v>
      </c>
      <c r="D118" s="37">
        <f t="shared" ref="D118:D121" si="27">$B$25/5</f>
        <v>0</v>
      </c>
      <c r="E118" s="37">
        <f t="shared" si="22"/>
        <v>0</v>
      </c>
      <c r="F118" s="37">
        <f t="shared" si="23"/>
        <v>0</v>
      </c>
      <c r="G118" s="37">
        <f t="shared" si="24"/>
        <v>0</v>
      </c>
      <c r="H118" s="37">
        <f t="shared" si="25"/>
        <v>0</v>
      </c>
      <c r="I118" s="37">
        <f t="shared" si="26"/>
        <v>0</v>
      </c>
      <c r="J118" s="37"/>
    </row>
    <row r="119" spans="1:10" x14ac:dyDescent="0.2">
      <c r="A119" s="37">
        <v>67</v>
      </c>
      <c r="B119" s="37">
        <v>68</v>
      </c>
      <c r="C119" s="37">
        <f t="shared" si="21"/>
        <v>67.5</v>
      </c>
      <c r="D119" s="37">
        <f t="shared" si="27"/>
        <v>0</v>
      </c>
      <c r="E119" s="37">
        <f t="shared" si="22"/>
        <v>0</v>
      </c>
      <c r="F119" s="37">
        <f t="shared" si="23"/>
        <v>0</v>
      </c>
      <c r="G119" s="37">
        <f t="shared" si="24"/>
        <v>0</v>
      </c>
      <c r="H119" s="37">
        <f t="shared" si="25"/>
        <v>0</v>
      </c>
      <c r="I119" s="37">
        <f t="shared" si="26"/>
        <v>0</v>
      </c>
      <c r="J119" s="37"/>
    </row>
    <row r="120" spans="1:10" x14ac:dyDescent="0.2">
      <c r="A120" s="37">
        <v>68</v>
      </c>
      <c r="B120" s="37">
        <v>69</v>
      </c>
      <c r="C120" s="37">
        <f t="shared" si="21"/>
        <v>68.5</v>
      </c>
      <c r="D120" s="37">
        <f t="shared" si="27"/>
        <v>0</v>
      </c>
      <c r="E120" s="37">
        <f t="shared" si="22"/>
        <v>0</v>
      </c>
      <c r="F120" s="37">
        <f t="shared" si="23"/>
        <v>0</v>
      </c>
      <c r="G120" s="37">
        <f t="shared" si="24"/>
        <v>0</v>
      </c>
      <c r="H120" s="37">
        <f t="shared" si="25"/>
        <v>0</v>
      </c>
      <c r="I120" s="37">
        <f t="shared" si="26"/>
        <v>0</v>
      </c>
      <c r="J120" s="37"/>
    </row>
    <row r="121" spans="1:10" x14ac:dyDescent="0.2">
      <c r="A121" s="37">
        <v>69</v>
      </c>
      <c r="B121" s="37">
        <v>70</v>
      </c>
      <c r="C121" s="37">
        <f t="shared" si="21"/>
        <v>69.5</v>
      </c>
      <c r="D121" s="37">
        <f t="shared" si="27"/>
        <v>0</v>
      </c>
      <c r="E121" s="37">
        <f t="shared" si="22"/>
        <v>0</v>
      </c>
      <c r="F121" s="37">
        <f t="shared" si="23"/>
        <v>0</v>
      </c>
      <c r="G121" s="37">
        <f t="shared" si="24"/>
        <v>0</v>
      </c>
      <c r="H121" s="37">
        <f t="shared" si="25"/>
        <v>0</v>
      </c>
      <c r="I121" s="37">
        <f t="shared" si="26"/>
        <v>0</v>
      </c>
      <c r="J121" s="37"/>
    </row>
    <row r="122" spans="1:10" x14ac:dyDescent="0.2">
      <c r="A122" s="37">
        <v>70</v>
      </c>
      <c r="B122" s="37">
        <v>71</v>
      </c>
      <c r="C122" s="37">
        <f t="shared" si="21"/>
        <v>70.5</v>
      </c>
      <c r="D122" s="37">
        <f>$B$26/5</f>
        <v>0</v>
      </c>
      <c r="E122" s="37">
        <f t="shared" si="22"/>
        <v>0</v>
      </c>
      <c r="F122" s="37">
        <f t="shared" si="23"/>
        <v>0</v>
      </c>
      <c r="G122" s="37">
        <f t="shared" si="24"/>
        <v>0</v>
      </c>
      <c r="H122" s="37">
        <f t="shared" si="25"/>
        <v>0</v>
      </c>
      <c r="I122" s="37">
        <f t="shared" si="26"/>
        <v>0</v>
      </c>
      <c r="J122" s="37"/>
    </row>
    <row r="123" spans="1:10" x14ac:dyDescent="0.2">
      <c r="A123" s="37">
        <v>71</v>
      </c>
      <c r="B123" s="37">
        <v>72</v>
      </c>
      <c r="C123" s="37">
        <f t="shared" si="21"/>
        <v>71.5</v>
      </c>
      <c r="D123" s="37">
        <f t="shared" ref="D123:D126" si="28">$B$26/5</f>
        <v>0</v>
      </c>
      <c r="E123" s="37">
        <f t="shared" si="22"/>
        <v>0</v>
      </c>
      <c r="F123" s="37">
        <f t="shared" si="23"/>
        <v>0</v>
      </c>
      <c r="G123" s="37">
        <f t="shared" si="24"/>
        <v>0</v>
      </c>
      <c r="H123" s="37">
        <f t="shared" si="25"/>
        <v>0</v>
      </c>
      <c r="I123" s="37">
        <f t="shared" si="26"/>
        <v>0</v>
      </c>
      <c r="J123" s="37"/>
    </row>
    <row r="124" spans="1:10" x14ac:dyDescent="0.2">
      <c r="A124" s="37">
        <v>72</v>
      </c>
      <c r="B124" s="37">
        <v>73</v>
      </c>
      <c r="C124" s="37">
        <f t="shared" si="21"/>
        <v>72.5</v>
      </c>
      <c r="D124" s="37">
        <f t="shared" si="28"/>
        <v>0</v>
      </c>
      <c r="E124" s="37">
        <f t="shared" si="22"/>
        <v>0</v>
      </c>
      <c r="F124" s="37">
        <f t="shared" si="23"/>
        <v>0</v>
      </c>
      <c r="G124" s="37">
        <f t="shared" si="24"/>
        <v>0</v>
      </c>
      <c r="H124" s="37">
        <f t="shared" si="25"/>
        <v>0</v>
      </c>
      <c r="I124" s="37">
        <f t="shared" si="26"/>
        <v>0</v>
      </c>
      <c r="J124" s="37"/>
    </row>
    <row r="125" spans="1:10" x14ac:dyDescent="0.2">
      <c r="A125" s="37">
        <v>73</v>
      </c>
      <c r="B125" s="37">
        <v>74</v>
      </c>
      <c r="C125" s="37">
        <f t="shared" si="21"/>
        <v>73.5</v>
      </c>
      <c r="D125" s="37">
        <f t="shared" si="28"/>
        <v>0</v>
      </c>
      <c r="E125" s="37">
        <f t="shared" si="22"/>
        <v>0</v>
      </c>
      <c r="F125" s="37">
        <f t="shared" si="23"/>
        <v>0</v>
      </c>
      <c r="G125" s="37">
        <f t="shared" si="24"/>
        <v>0</v>
      </c>
      <c r="H125" s="37">
        <f t="shared" si="25"/>
        <v>0</v>
      </c>
      <c r="I125" s="37">
        <f t="shared" si="26"/>
        <v>0</v>
      </c>
      <c r="J125" s="37"/>
    </row>
    <row r="126" spans="1:10" x14ac:dyDescent="0.2">
      <c r="A126" s="37">
        <v>74</v>
      </c>
      <c r="B126" s="37">
        <v>75</v>
      </c>
      <c r="C126" s="37">
        <f t="shared" si="21"/>
        <v>74.5</v>
      </c>
      <c r="D126" s="37">
        <f t="shared" si="28"/>
        <v>0</v>
      </c>
      <c r="E126" s="37">
        <f t="shared" si="22"/>
        <v>0</v>
      </c>
      <c r="F126" s="37">
        <f t="shared" si="23"/>
        <v>0</v>
      </c>
      <c r="G126" s="37">
        <f t="shared" si="24"/>
        <v>0</v>
      </c>
      <c r="H126" s="37">
        <f t="shared" si="25"/>
        <v>0</v>
      </c>
      <c r="I126" s="37">
        <f t="shared" si="26"/>
        <v>0</v>
      </c>
      <c r="J126" s="37"/>
    </row>
    <row r="127" spans="1:10" x14ac:dyDescent="0.2">
      <c r="A127" s="37">
        <v>75</v>
      </c>
      <c r="B127" s="37">
        <v>76</v>
      </c>
      <c r="C127" s="37">
        <f t="shared" si="21"/>
        <v>75.5</v>
      </c>
      <c r="D127" s="37">
        <f>$B$27/5</f>
        <v>0</v>
      </c>
      <c r="E127" s="37">
        <f t="shared" si="22"/>
        <v>0</v>
      </c>
      <c r="F127" s="37">
        <f t="shared" si="23"/>
        <v>0</v>
      </c>
      <c r="G127" s="37">
        <f t="shared" si="24"/>
        <v>0</v>
      </c>
      <c r="H127" s="37">
        <f t="shared" si="25"/>
        <v>0</v>
      </c>
      <c r="I127" s="37">
        <f t="shared" si="26"/>
        <v>0</v>
      </c>
      <c r="J127" s="37"/>
    </row>
    <row r="128" spans="1:10" x14ac:dyDescent="0.2">
      <c r="A128" s="37">
        <v>76</v>
      </c>
      <c r="B128" s="37">
        <v>77</v>
      </c>
      <c r="C128" s="37">
        <f t="shared" si="21"/>
        <v>76.5</v>
      </c>
      <c r="D128" s="37">
        <f t="shared" ref="D128:D131" si="29">$B$27/5</f>
        <v>0</v>
      </c>
      <c r="E128" s="37">
        <f t="shared" si="22"/>
        <v>0</v>
      </c>
      <c r="F128" s="37">
        <f t="shared" si="23"/>
        <v>0</v>
      </c>
      <c r="G128" s="37">
        <f t="shared" si="24"/>
        <v>0</v>
      </c>
      <c r="H128" s="37">
        <f t="shared" si="25"/>
        <v>0</v>
      </c>
      <c r="I128" s="37">
        <f t="shared" si="26"/>
        <v>0</v>
      </c>
      <c r="J128" s="37"/>
    </row>
    <row r="129" spans="1:10" x14ac:dyDescent="0.2">
      <c r="A129" s="37">
        <v>77</v>
      </c>
      <c r="B129" s="37">
        <v>78</v>
      </c>
      <c r="C129" s="37">
        <f t="shared" si="21"/>
        <v>77.5</v>
      </c>
      <c r="D129" s="37">
        <f t="shared" si="29"/>
        <v>0</v>
      </c>
      <c r="E129" s="37">
        <f t="shared" si="22"/>
        <v>0</v>
      </c>
      <c r="F129" s="37">
        <f t="shared" si="23"/>
        <v>0</v>
      </c>
      <c r="G129" s="37">
        <f t="shared" si="24"/>
        <v>0</v>
      </c>
      <c r="H129" s="37">
        <f t="shared" si="25"/>
        <v>0</v>
      </c>
      <c r="I129" s="37">
        <f t="shared" si="26"/>
        <v>0</v>
      </c>
      <c r="J129" s="37"/>
    </row>
    <row r="130" spans="1:10" x14ac:dyDescent="0.2">
      <c r="A130" s="37">
        <v>78</v>
      </c>
      <c r="B130" s="37">
        <v>79</v>
      </c>
      <c r="C130" s="37">
        <f t="shared" si="21"/>
        <v>78.5</v>
      </c>
      <c r="D130" s="37">
        <f t="shared" si="29"/>
        <v>0</v>
      </c>
      <c r="E130" s="37">
        <f t="shared" si="22"/>
        <v>0</v>
      </c>
      <c r="F130" s="37">
        <f t="shared" si="23"/>
        <v>0</v>
      </c>
      <c r="G130" s="37">
        <f t="shared" si="24"/>
        <v>0</v>
      </c>
      <c r="H130" s="37">
        <f t="shared" si="25"/>
        <v>0</v>
      </c>
      <c r="I130" s="37">
        <f t="shared" si="26"/>
        <v>0</v>
      </c>
      <c r="J130" s="37"/>
    </row>
    <row r="131" spans="1:10" x14ac:dyDescent="0.2">
      <c r="A131" s="37">
        <v>79</v>
      </c>
      <c r="B131" s="37">
        <v>80</v>
      </c>
      <c r="C131" s="37">
        <f t="shared" si="21"/>
        <v>79.5</v>
      </c>
      <c r="D131" s="37">
        <f t="shared" si="29"/>
        <v>0</v>
      </c>
      <c r="E131" s="37">
        <f t="shared" si="22"/>
        <v>0</v>
      </c>
      <c r="F131" s="37">
        <f t="shared" si="23"/>
        <v>0</v>
      </c>
      <c r="G131" s="37">
        <f t="shared" si="24"/>
        <v>0</v>
      </c>
      <c r="H131" s="37">
        <f t="shared" si="25"/>
        <v>0</v>
      </c>
      <c r="I131" s="37">
        <f t="shared" si="26"/>
        <v>0</v>
      </c>
      <c r="J131" s="37"/>
    </row>
    <row r="132" spans="1:10" x14ac:dyDescent="0.2">
      <c r="A132" s="37">
        <v>80</v>
      </c>
      <c r="B132" s="37">
        <v>81</v>
      </c>
      <c r="C132" s="37">
        <f t="shared" si="21"/>
        <v>80.5</v>
      </c>
      <c r="D132" s="37">
        <f>$B$28/5</f>
        <v>0</v>
      </c>
      <c r="E132" s="37">
        <f t="shared" si="22"/>
        <v>0</v>
      </c>
      <c r="F132" s="37">
        <f t="shared" si="23"/>
        <v>0</v>
      </c>
      <c r="G132" s="37">
        <f t="shared" si="24"/>
        <v>0</v>
      </c>
      <c r="H132" s="37">
        <f t="shared" si="25"/>
        <v>0</v>
      </c>
      <c r="I132" s="37">
        <f t="shared" si="26"/>
        <v>0</v>
      </c>
      <c r="J132" s="37"/>
    </row>
    <row r="133" spans="1:10" x14ac:dyDescent="0.2">
      <c r="A133" s="37">
        <v>81</v>
      </c>
      <c r="B133" s="37">
        <v>82</v>
      </c>
      <c r="C133" s="37">
        <f t="shared" si="21"/>
        <v>81.5</v>
      </c>
      <c r="D133" s="37">
        <f t="shared" ref="D133:D136" si="30">$B$28/5</f>
        <v>0</v>
      </c>
      <c r="E133" s="37">
        <f t="shared" si="22"/>
        <v>0</v>
      </c>
      <c r="F133" s="37">
        <f t="shared" si="23"/>
        <v>0</v>
      </c>
      <c r="G133" s="37">
        <f t="shared" si="24"/>
        <v>0</v>
      </c>
      <c r="H133" s="37">
        <f t="shared" si="25"/>
        <v>0</v>
      </c>
      <c r="I133" s="37">
        <f t="shared" si="26"/>
        <v>0</v>
      </c>
      <c r="J133" s="37"/>
    </row>
    <row r="134" spans="1:10" x14ac:dyDescent="0.2">
      <c r="A134" s="37">
        <v>82</v>
      </c>
      <c r="B134" s="37">
        <v>83</v>
      </c>
      <c r="C134" s="37">
        <f t="shared" si="21"/>
        <v>82.5</v>
      </c>
      <c r="D134" s="37">
        <f t="shared" si="30"/>
        <v>0</v>
      </c>
      <c r="E134" s="37">
        <f t="shared" si="22"/>
        <v>0</v>
      </c>
      <c r="F134" s="37">
        <f t="shared" si="23"/>
        <v>0</v>
      </c>
      <c r="G134" s="37">
        <f t="shared" si="24"/>
        <v>0</v>
      </c>
      <c r="H134" s="37">
        <f t="shared" si="25"/>
        <v>0</v>
      </c>
      <c r="I134" s="37">
        <f t="shared" si="26"/>
        <v>0</v>
      </c>
      <c r="J134" s="37"/>
    </row>
    <row r="135" spans="1:10" x14ac:dyDescent="0.2">
      <c r="A135" s="37">
        <v>83</v>
      </c>
      <c r="B135" s="37">
        <v>84</v>
      </c>
      <c r="C135" s="37">
        <f t="shared" si="21"/>
        <v>83.5</v>
      </c>
      <c r="D135" s="37">
        <f t="shared" si="30"/>
        <v>0</v>
      </c>
      <c r="E135" s="37">
        <f t="shared" si="22"/>
        <v>0</v>
      </c>
      <c r="F135" s="37">
        <f t="shared" si="23"/>
        <v>0</v>
      </c>
      <c r="G135" s="37">
        <f t="shared" si="24"/>
        <v>0</v>
      </c>
      <c r="H135" s="37">
        <f t="shared" si="25"/>
        <v>0</v>
      </c>
      <c r="I135" s="37">
        <f t="shared" si="26"/>
        <v>0</v>
      </c>
      <c r="J135" s="37"/>
    </row>
    <row r="136" spans="1:10" x14ac:dyDescent="0.2">
      <c r="A136" s="37">
        <v>84</v>
      </c>
      <c r="B136" s="37">
        <v>85</v>
      </c>
      <c r="C136" s="37">
        <f t="shared" si="21"/>
        <v>84.5</v>
      </c>
      <c r="D136" s="37">
        <f t="shared" si="30"/>
        <v>0</v>
      </c>
      <c r="E136" s="37">
        <f t="shared" si="22"/>
        <v>0</v>
      </c>
      <c r="F136" s="37">
        <f t="shared" si="23"/>
        <v>0</v>
      </c>
      <c r="G136" s="37">
        <f t="shared" si="24"/>
        <v>0</v>
      </c>
      <c r="H136" s="37">
        <f t="shared" si="25"/>
        <v>0</v>
      </c>
      <c r="I136" s="37">
        <f t="shared" si="26"/>
        <v>0</v>
      </c>
      <c r="J136" s="37"/>
    </row>
    <row r="137" spans="1:10" x14ac:dyDescent="0.2">
      <c r="A137" s="37">
        <v>85</v>
      </c>
      <c r="B137" s="37">
        <v>86</v>
      </c>
      <c r="C137" s="37">
        <f t="shared" si="21"/>
        <v>85.5</v>
      </c>
      <c r="D137" s="37">
        <f>$B$29/5</f>
        <v>0</v>
      </c>
      <c r="E137" s="37">
        <f t="shared" si="22"/>
        <v>0</v>
      </c>
      <c r="F137" s="37">
        <f t="shared" si="23"/>
        <v>0</v>
      </c>
      <c r="G137" s="37">
        <f t="shared" si="24"/>
        <v>0</v>
      </c>
      <c r="H137" s="37">
        <f t="shared" si="25"/>
        <v>0</v>
      </c>
      <c r="I137" s="37">
        <f t="shared" si="26"/>
        <v>0</v>
      </c>
      <c r="J137" s="37"/>
    </row>
    <row r="138" spans="1:10" x14ac:dyDescent="0.2">
      <c r="A138" s="37">
        <v>86</v>
      </c>
      <c r="B138" s="37">
        <v>87</v>
      </c>
      <c r="C138" s="37">
        <f t="shared" si="21"/>
        <v>86.5</v>
      </c>
      <c r="D138" s="37">
        <f t="shared" ref="D138:D141" si="31">$B$29/5</f>
        <v>0</v>
      </c>
      <c r="E138" s="37">
        <f t="shared" si="22"/>
        <v>0</v>
      </c>
      <c r="F138" s="37">
        <f t="shared" si="23"/>
        <v>0</v>
      </c>
      <c r="G138" s="37">
        <f t="shared" si="24"/>
        <v>0</v>
      </c>
      <c r="H138" s="37">
        <f t="shared" si="25"/>
        <v>0</v>
      </c>
      <c r="I138" s="37">
        <f t="shared" si="26"/>
        <v>0</v>
      </c>
      <c r="J138" s="37"/>
    </row>
    <row r="139" spans="1:10" x14ac:dyDescent="0.2">
      <c r="A139" s="37">
        <v>87</v>
      </c>
      <c r="B139" s="37">
        <v>88</v>
      </c>
      <c r="C139" s="37">
        <f t="shared" si="21"/>
        <v>87.5</v>
      </c>
      <c r="D139" s="37">
        <f t="shared" si="31"/>
        <v>0</v>
      </c>
      <c r="E139" s="37">
        <f t="shared" si="22"/>
        <v>0</v>
      </c>
      <c r="F139" s="37">
        <f t="shared" si="23"/>
        <v>0</v>
      </c>
      <c r="G139" s="37">
        <f t="shared" si="24"/>
        <v>0</v>
      </c>
      <c r="H139" s="37">
        <f t="shared" si="25"/>
        <v>0</v>
      </c>
      <c r="I139" s="37">
        <f t="shared" si="26"/>
        <v>0</v>
      </c>
      <c r="J139" s="37"/>
    </row>
    <row r="140" spans="1:10" x14ac:dyDescent="0.2">
      <c r="A140" s="37">
        <v>88</v>
      </c>
      <c r="B140" s="37">
        <v>89</v>
      </c>
      <c r="C140" s="37">
        <f t="shared" si="21"/>
        <v>88.5</v>
      </c>
      <c r="D140" s="37">
        <f t="shared" si="31"/>
        <v>0</v>
      </c>
      <c r="E140" s="37">
        <f t="shared" si="22"/>
        <v>0</v>
      </c>
      <c r="F140" s="37">
        <f t="shared" si="23"/>
        <v>0</v>
      </c>
      <c r="G140" s="37">
        <f t="shared" si="24"/>
        <v>0</v>
      </c>
      <c r="H140" s="37">
        <f t="shared" si="25"/>
        <v>0</v>
      </c>
      <c r="I140" s="37">
        <f t="shared" si="26"/>
        <v>0</v>
      </c>
      <c r="J140" s="37"/>
    </row>
    <row r="141" spans="1:10" x14ac:dyDescent="0.2">
      <c r="A141" s="37">
        <v>89</v>
      </c>
      <c r="B141" s="37">
        <v>90</v>
      </c>
      <c r="C141" s="37">
        <f t="shared" si="21"/>
        <v>89.5</v>
      </c>
      <c r="D141" s="37">
        <f t="shared" si="31"/>
        <v>0</v>
      </c>
      <c r="E141" s="37">
        <f t="shared" si="22"/>
        <v>0</v>
      </c>
      <c r="F141" s="37">
        <f t="shared" si="23"/>
        <v>0</v>
      </c>
      <c r="G141" s="37">
        <f t="shared" si="24"/>
        <v>0</v>
      </c>
      <c r="H141" s="37">
        <f t="shared" si="25"/>
        <v>0</v>
      </c>
      <c r="I141" s="37">
        <f t="shared" si="26"/>
        <v>0</v>
      </c>
      <c r="J141" s="37"/>
    </row>
    <row r="142" spans="1:10" x14ac:dyDescent="0.2">
      <c r="A142" s="37">
        <v>90</v>
      </c>
      <c r="B142" s="37">
        <v>91</v>
      </c>
      <c r="C142" s="37">
        <f t="shared" si="21"/>
        <v>90.5</v>
      </c>
      <c r="D142" s="37">
        <f>$B$30/5</f>
        <v>0</v>
      </c>
      <c r="E142" s="37">
        <f t="shared" si="22"/>
        <v>0</v>
      </c>
      <c r="F142" s="37">
        <f t="shared" si="23"/>
        <v>0</v>
      </c>
      <c r="G142" s="37">
        <f t="shared" si="24"/>
        <v>0</v>
      </c>
      <c r="H142" s="37">
        <f t="shared" si="25"/>
        <v>0</v>
      </c>
      <c r="I142" s="37">
        <f t="shared" si="26"/>
        <v>0</v>
      </c>
      <c r="J142" s="37"/>
    </row>
    <row r="143" spans="1:10" x14ac:dyDescent="0.2">
      <c r="A143" s="37">
        <v>91</v>
      </c>
      <c r="B143" s="37">
        <v>92</v>
      </c>
      <c r="C143" s="37">
        <f t="shared" si="21"/>
        <v>91.5</v>
      </c>
      <c r="D143" s="37">
        <f t="shared" ref="D143:D146" si="32">$B$30/5</f>
        <v>0</v>
      </c>
      <c r="E143" s="37">
        <f t="shared" si="22"/>
        <v>0</v>
      </c>
      <c r="F143" s="37">
        <f t="shared" si="23"/>
        <v>0</v>
      </c>
      <c r="G143" s="37">
        <f t="shared" si="24"/>
        <v>0</v>
      </c>
      <c r="H143" s="37">
        <f t="shared" si="25"/>
        <v>0</v>
      </c>
      <c r="I143" s="37">
        <f t="shared" si="26"/>
        <v>0</v>
      </c>
      <c r="J143" s="37"/>
    </row>
    <row r="144" spans="1:10" x14ac:dyDescent="0.2">
      <c r="A144" s="37">
        <v>92</v>
      </c>
      <c r="B144" s="37">
        <v>93</v>
      </c>
      <c r="C144" s="37">
        <f t="shared" si="21"/>
        <v>92.5</v>
      </c>
      <c r="D144" s="37">
        <f t="shared" si="32"/>
        <v>0</v>
      </c>
      <c r="E144" s="37">
        <f t="shared" si="22"/>
        <v>0</v>
      </c>
      <c r="F144" s="37">
        <f t="shared" si="23"/>
        <v>0</v>
      </c>
      <c r="G144" s="37">
        <f t="shared" si="24"/>
        <v>0</v>
      </c>
      <c r="H144" s="37">
        <f t="shared" si="25"/>
        <v>0</v>
      </c>
      <c r="I144" s="37">
        <f t="shared" si="26"/>
        <v>0</v>
      </c>
      <c r="J144" s="37"/>
    </row>
    <row r="145" spans="1:10" x14ac:dyDescent="0.2">
      <c r="A145" s="37">
        <v>93</v>
      </c>
      <c r="B145" s="37">
        <v>94</v>
      </c>
      <c r="C145" s="37">
        <f t="shared" si="21"/>
        <v>93.5</v>
      </c>
      <c r="D145" s="37">
        <f t="shared" si="32"/>
        <v>0</v>
      </c>
      <c r="E145" s="37">
        <f t="shared" si="22"/>
        <v>0</v>
      </c>
      <c r="F145" s="37">
        <f t="shared" si="23"/>
        <v>0</v>
      </c>
      <c r="G145" s="37">
        <f t="shared" si="24"/>
        <v>0</v>
      </c>
      <c r="H145" s="37">
        <f t="shared" si="25"/>
        <v>0</v>
      </c>
      <c r="I145" s="37">
        <f t="shared" si="26"/>
        <v>0</v>
      </c>
      <c r="J145" s="37"/>
    </row>
    <row r="146" spans="1:10" x14ac:dyDescent="0.2">
      <c r="A146" s="37">
        <v>94</v>
      </c>
      <c r="B146" s="37">
        <v>95</v>
      </c>
      <c r="C146" s="37">
        <f t="shared" si="21"/>
        <v>94.5</v>
      </c>
      <c r="D146" s="37">
        <f t="shared" si="32"/>
        <v>0</v>
      </c>
      <c r="E146" s="37">
        <f t="shared" si="22"/>
        <v>0</v>
      </c>
      <c r="F146" s="37">
        <f t="shared" si="23"/>
        <v>0</v>
      </c>
      <c r="G146" s="37">
        <f t="shared" si="24"/>
        <v>0</v>
      </c>
      <c r="H146" s="37">
        <f t="shared" si="25"/>
        <v>0</v>
      </c>
      <c r="I146" s="37">
        <f t="shared" si="26"/>
        <v>0</v>
      </c>
      <c r="J146" s="37"/>
    </row>
    <row r="147" spans="1:10" x14ac:dyDescent="0.2">
      <c r="A147" s="37">
        <v>95</v>
      </c>
      <c r="B147" s="37">
        <v>96</v>
      </c>
      <c r="C147" s="37">
        <f t="shared" si="21"/>
        <v>95.5</v>
      </c>
      <c r="D147" s="37">
        <f>$B$31/5</f>
        <v>0</v>
      </c>
      <c r="E147" s="37">
        <f t="shared" si="22"/>
        <v>0</v>
      </c>
      <c r="F147" s="37">
        <f t="shared" si="23"/>
        <v>0</v>
      </c>
      <c r="G147" s="37">
        <f t="shared" si="24"/>
        <v>0</v>
      </c>
      <c r="H147" s="37">
        <f t="shared" si="25"/>
        <v>0</v>
      </c>
      <c r="I147" s="37">
        <f t="shared" si="26"/>
        <v>0</v>
      </c>
      <c r="J147" s="37"/>
    </row>
    <row r="148" spans="1:10" x14ac:dyDescent="0.2">
      <c r="A148" s="37">
        <v>96</v>
      </c>
      <c r="B148" s="37">
        <v>97</v>
      </c>
      <c r="C148" s="37">
        <f t="shared" ref="C148:C152" si="33">A148+(B148-A148)/2</f>
        <v>96.5</v>
      </c>
      <c r="D148" s="37">
        <f t="shared" ref="D148:D151" si="34">$B$31/5</f>
        <v>0</v>
      </c>
      <c r="E148" s="37">
        <f t="shared" si="22"/>
        <v>0</v>
      </c>
      <c r="F148" s="37">
        <f t="shared" si="23"/>
        <v>0</v>
      </c>
      <c r="G148" s="37">
        <f t="shared" si="24"/>
        <v>0</v>
      </c>
      <c r="H148" s="37">
        <f t="shared" si="25"/>
        <v>0</v>
      </c>
      <c r="I148" s="37">
        <f t="shared" si="26"/>
        <v>0</v>
      </c>
      <c r="J148" s="37"/>
    </row>
    <row r="149" spans="1:10" x14ac:dyDescent="0.2">
      <c r="A149" s="37">
        <v>97</v>
      </c>
      <c r="B149" s="37">
        <v>98</v>
      </c>
      <c r="C149" s="37">
        <f t="shared" si="33"/>
        <v>97.5</v>
      </c>
      <c r="D149" s="37">
        <f t="shared" si="34"/>
        <v>0</v>
      </c>
      <c r="E149" s="37">
        <f t="shared" si="22"/>
        <v>0</v>
      </c>
      <c r="F149" s="37">
        <f t="shared" si="23"/>
        <v>0</v>
      </c>
      <c r="G149" s="37">
        <f t="shared" si="24"/>
        <v>0</v>
      </c>
      <c r="H149" s="37">
        <f t="shared" si="25"/>
        <v>0</v>
      </c>
      <c r="I149" s="37">
        <f t="shared" si="26"/>
        <v>0</v>
      </c>
      <c r="J149" s="37"/>
    </row>
    <row r="150" spans="1:10" x14ac:dyDescent="0.2">
      <c r="A150" s="37">
        <v>98</v>
      </c>
      <c r="B150" s="37">
        <v>99</v>
      </c>
      <c r="C150" s="37">
        <f t="shared" si="33"/>
        <v>98.5</v>
      </c>
      <c r="D150" s="37">
        <f t="shared" si="34"/>
        <v>0</v>
      </c>
      <c r="E150" s="37">
        <f t="shared" si="22"/>
        <v>0</v>
      </c>
      <c r="F150" s="37">
        <f t="shared" si="23"/>
        <v>0</v>
      </c>
      <c r="G150" s="37">
        <f t="shared" si="24"/>
        <v>0</v>
      </c>
      <c r="H150" s="37">
        <f t="shared" si="25"/>
        <v>0</v>
      </c>
      <c r="I150" s="37">
        <f t="shared" si="26"/>
        <v>0</v>
      </c>
      <c r="J150" s="37"/>
    </row>
    <row r="151" spans="1:10" x14ac:dyDescent="0.2">
      <c r="A151" s="37">
        <v>99</v>
      </c>
      <c r="B151" s="37">
        <v>100</v>
      </c>
      <c r="C151" s="37">
        <f t="shared" si="33"/>
        <v>99.5</v>
      </c>
      <c r="D151" s="37">
        <f t="shared" si="34"/>
        <v>0</v>
      </c>
      <c r="E151" s="37">
        <f t="shared" si="22"/>
        <v>0</v>
      </c>
      <c r="F151" s="37">
        <f t="shared" si="23"/>
        <v>0</v>
      </c>
      <c r="G151" s="37">
        <f t="shared" si="24"/>
        <v>0</v>
      </c>
      <c r="H151" s="37">
        <f t="shared" si="25"/>
        <v>0</v>
      </c>
      <c r="I151" s="37">
        <f t="shared" si="26"/>
        <v>0</v>
      </c>
      <c r="J151" s="37"/>
    </row>
    <row r="152" spans="1:10" x14ac:dyDescent="0.2">
      <c r="A152" s="37">
        <v>100</v>
      </c>
      <c r="B152" s="37">
        <v>101</v>
      </c>
      <c r="C152" s="37">
        <f t="shared" si="33"/>
        <v>100.5</v>
      </c>
      <c r="D152" s="37">
        <f>$B$32/5</f>
        <v>0</v>
      </c>
      <c r="E152" s="37">
        <f t="shared" si="22"/>
        <v>0</v>
      </c>
      <c r="F152" s="37">
        <f t="shared" si="23"/>
        <v>0</v>
      </c>
      <c r="G152" s="37">
        <f t="shared" si="24"/>
        <v>0</v>
      </c>
      <c r="H152" s="37">
        <f t="shared" si="25"/>
        <v>0</v>
      </c>
      <c r="I152" s="37">
        <f t="shared" si="26"/>
        <v>0</v>
      </c>
      <c r="J152" s="37"/>
    </row>
    <row r="153" spans="1:10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</row>
    <row r="154" spans="1:10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</row>
    <row r="155" spans="1:10" x14ac:dyDescent="0.2">
      <c r="A155" s="48"/>
      <c r="B155" s="48"/>
      <c r="C155" s="48"/>
      <c r="D155" s="48"/>
      <c r="E155" s="48"/>
      <c r="F155" s="48"/>
      <c r="G155" s="48"/>
      <c r="H155" s="48"/>
      <c r="I155" s="48"/>
    </row>
    <row r="156" spans="1:10" x14ac:dyDescent="0.2">
      <c r="A156" s="48"/>
      <c r="B156" s="48"/>
      <c r="C156" s="48"/>
      <c r="D156" s="48"/>
      <c r="E156" s="48"/>
      <c r="F156" s="48"/>
      <c r="G156" s="48"/>
      <c r="H156" s="48"/>
      <c r="I156" s="48"/>
    </row>
    <row r="157" spans="1:10" x14ac:dyDescent="0.2">
      <c r="A157" s="48"/>
      <c r="B157" s="48"/>
      <c r="C157" s="48"/>
      <c r="D157" s="48"/>
      <c r="E157" s="48"/>
      <c r="F157" s="48"/>
      <c r="G157" s="48"/>
      <c r="H157" s="48"/>
      <c r="I157" s="48"/>
    </row>
    <row r="158" spans="1:10" x14ac:dyDescent="0.2">
      <c r="A158" s="48"/>
      <c r="B158" s="48"/>
      <c r="C158" s="48"/>
      <c r="D158" s="48"/>
      <c r="E158" s="48"/>
      <c r="F158" s="48"/>
      <c r="G158" s="48"/>
      <c r="H158" s="48"/>
      <c r="I158" s="48"/>
    </row>
    <row r="159" spans="1:10" x14ac:dyDescent="0.2">
      <c r="A159" s="48"/>
      <c r="B159" s="48"/>
      <c r="C159" s="48"/>
      <c r="D159" s="48"/>
      <c r="E159" s="48"/>
      <c r="F159" s="48"/>
      <c r="G159" s="48"/>
      <c r="H159" s="48"/>
      <c r="I159" s="48"/>
    </row>
    <row r="160" spans="1:10" x14ac:dyDescent="0.2">
      <c r="A160" s="48"/>
      <c r="B160" s="48"/>
      <c r="C160" s="48"/>
      <c r="D160" s="48"/>
      <c r="E160" s="48"/>
      <c r="F160" s="48"/>
      <c r="G160" s="48"/>
      <c r="H160" s="48"/>
      <c r="I160" s="48"/>
    </row>
    <row r="161" spans="1:9" x14ac:dyDescent="0.2">
      <c r="A161" s="48"/>
      <c r="B161" s="48"/>
      <c r="C161" s="48"/>
      <c r="D161" s="48"/>
      <c r="E161" s="48"/>
      <c r="F161" s="48"/>
      <c r="G161" s="48"/>
      <c r="H161" s="48"/>
      <c r="I161" s="48"/>
    </row>
    <row r="162" spans="1:9" x14ac:dyDescent="0.2">
      <c r="A162" s="48"/>
      <c r="B162" s="48"/>
      <c r="C162" s="48"/>
      <c r="D162" s="48"/>
      <c r="E162" s="48"/>
      <c r="F162" s="48"/>
      <c r="G162" s="48"/>
      <c r="H162" s="48"/>
      <c r="I162" s="48"/>
    </row>
    <row r="163" spans="1:9" x14ac:dyDescent="0.2">
      <c r="A163" s="48"/>
      <c r="B163" s="48"/>
      <c r="C163" s="48"/>
      <c r="D163" s="48"/>
      <c r="E163" s="48"/>
      <c r="F163" s="48"/>
      <c r="G163" s="48"/>
      <c r="H163" s="48"/>
      <c r="I163" s="48"/>
    </row>
    <row r="164" spans="1:9" x14ac:dyDescent="0.2">
      <c r="A164" s="48"/>
      <c r="B164" s="48"/>
      <c r="C164" s="48"/>
      <c r="D164" s="48"/>
      <c r="E164" s="80"/>
      <c r="F164" s="48"/>
      <c r="G164" s="48"/>
      <c r="H164" s="48"/>
      <c r="I164" s="48"/>
    </row>
    <row r="165" spans="1:9" x14ac:dyDescent="0.2">
      <c r="A165" s="48"/>
      <c r="B165" s="48"/>
      <c r="C165" s="48"/>
      <c r="D165" s="48"/>
      <c r="E165" s="80"/>
      <c r="F165" s="48"/>
      <c r="G165" s="48"/>
      <c r="H165" s="48"/>
      <c r="I165" s="48"/>
    </row>
    <row r="166" spans="1:9" x14ac:dyDescent="0.2">
      <c r="A166" s="48"/>
      <c r="B166" s="48"/>
      <c r="C166" s="48"/>
      <c r="D166" s="48"/>
      <c r="E166" s="80"/>
      <c r="F166" s="48"/>
      <c r="G166" s="48"/>
      <c r="H166" s="48"/>
      <c r="I166" s="48"/>
    </row>
    <row r="167" spans="1:9" x14ac:dyDescent="0.2">
      <c r="A167" s="48"/>
      <c r="B167" s="48"/>
      <c r="C167" s="48"/>
      <c r="D167" s="48"/>
      <c r="E167" s="80"/>
      <c r="F167" s="48"/>
      <c r="G167" s="48"/>
      <c r="H167" s="48"/>
      <c r="I167" s="48"/>
    </row>
    <row r="168" spans="1:9" x14ac:dyDescent="0.2">
      <c r="A168" s="48"/>
      <c r="B168" s="48"/>
      <c r="C168" s="48"/>
      <c r="D168" s="48"/>
      <c r="E168" s="80"/>
      <c r="F168" s="48"/>
      <c r="G168" s="48"/>
      <c r="H168" s="48"/>
      <c r="I168" s="48"/>
    </row>
    <row r="169" spans="1:9" x14ac:dyDescent="0.2">
      <c r="A169" s="48"/>
      <c r="B169" s="48"/>
      <c r="C169" s="48"/>
      <c r="D169" s="48"/>
      <c r="E169" s="80"/>
      <c r="F169" s="48"/>
      <c r="G169" s="48"/>
      <c r="H169" s="48"/>
      <c r="I169" s="48"/>
    </row>
    <row r="170" spans="1:9" x14ac:dyDescent="0.2">
      <c r="A170" s="48"/>
      <c r="B170" s="48"/>
      <c r="C170" s="48"/>
      <c r="D170" s="48"/>
      <c r="E170" s="48"/>
      <c r="F170" s="48"/>
      <c r="G170" s="48"/>
      <c r="H170" s="48"/>
    </row>
    <row r="171" spans="1:9" x14ac:dyDescent="0.2">
      <c r="A171" s="48"/>
      <c r="B171" s="48"/>
      <c r="C171" s="48"/>
      <c r="D171" s="48"/>
      <c r="E171" s="48"/>
      <c r="F171" s="48"/>
      <c r="G171" s="48"/>
      <c r="H171" s="48"/>
    </row>
    <row r="172" spans="1:9" x14ac:dyDescent="0.2">
      <c r="A172" s="48"/>
      <c r="B172" s="48"/>
      <c r="C172" s="48"/>
      <c r="D172" s="48"/>
      <c r="E172" s="48"/>
      <c r="F172" s="48"/>
      <c r="G172" s="48"/>
      <c r="H172" s="48"/>
    </row>
    <row r="173" spans="1:9" x14ac:dyDescent="0.2">
      <c r="A173" s="48"/>
      <c r="B173" s="48"/>
      <c r="C173" s="48"/>
      <c r="D173" s="48"/>
      <c r="E173" s="48"/>
      <c r="F173" s="48"/>
      <c r="G173" s="48"/>
      <c r="H173" s="48"/>
    </row>
    <row r="174" spans="1:9" x14ac:dyDescent="0.2">
      <c r="A174" s="48"/>
      <c r="B174" s="48"/>
      <c r="C174" s="48"/>
      <c r="D174" s="48"/>
      <c r="E174" s="48"/>
      <c r="F174" s="48"/>
      <c r="G174" s="48"/>
      <c r="H174" s="48"/>
    </row>
    <row r="175" spans="1:9" x14ac:dyDescent="0.2">
      <c r="A175" s="48"/>
      <c r="B175" s="48"/>
      <c r="C175" s="48"/>
      <c r="D175" s="48"/>
      <c r="E175" s="48"/>
      <c r="F175" s="48"/>
      <c r="G175" s="48"/>
      <c r="H175" s="48"/>
    </row>
    <row r="176" spans="1:9" x14ac:dyDescent="0.2">
      <c r="A176" s="48"/>
      <c r="B176" s="48"/>
      <c r="C176" s="48"/>
      <c r="D176" s="48"/>
      <c r="E176" s="48"/>
      <c r="F176" s="48"/>
      <c r="G176" s="48"/>
      <c r="H176" s="48"/>
    </row>
    <row r="177" spans="1:8" x14ac:dyDescent="0.2">
      <c r="A177" s="48"/>
      <c r="B177" s="48"/>
      <c r="C177" s="48"/>
      <c r="D177" s="48"/>
      <c r="E177" s="48"/>
      <c r="F177" s="48"/>
      <c r="G177" s="48"/>
      <c r="H177" s="48"/>
    </row>
    <row r="178" spans="1:8" x14ac:dyDescent="0.2">
      <c r="A178" s="48"/>
      <c r="B178" s="48"/>
      <c r="C178" s="48"/>
      <c r="D178" s="48"/>
      <c r="E178" s="48"/>
      <c r="F178" s="48"/>
      <c r="G178" s="48"/>
      <c r="H178" s="48"/>
    </row>
    <row r="179" spans="1:8" x14ac:dyDescent="0.2">
      <c r="A179" s="48"/>
      <c r="B179" s="48"/>
      <c r="C179" s="48"/>
      <c r="D179" s="48"/>
      <c r="E179" s="48"/>
      <c r="F179" s="48"/>
      <c r="G179" s="48"/>
      <c r="H179" s="48"/>
    </row>
    <row r="180" spans="1:8" x14ac:dyDescent="0.2">
      <c r="A180" s="48"/>
      <c r="B180" s="48"/>
      <c r="C180" s="48"/>
      <c r="D180" s="48"/>
      <c r="E180" s="48"/>
      <c r="F180" s="48"/>
      <c r="G180" s="48"/>
      <c r="H180" s="48"/>
    </row>
    <row r="181" spans="1:8" x14ac:dyDescent="0.2">
      <c r="A181" s="48"/>
      <c r="B181" s="48"/>
      <c r="C181" s="48"/>
      <c r="D181" s="48"/>
      <c r="E181" s="48"/>
      <c r="F181" s="48"/>
      <c r="G181" s="48"/>
      <c r="H181" s="48"/>
    </row>
    <row r="182" spans="1:8" x14ac:dyDescent="0.2">
      <c r="A182" s="48"/>
      <c r="B182" s="48"/>
      <c r="C182" s="48"/>
      <c r="D182" s="48"/>
      <c r="E182" s="48"/>
      <c r="F182" s="48"/>
      <c r="G182" s="48"/>
      <c r="H182" s="48"/>
    </row>
    <row r="183" spans="1:8" x14ac:dyDescent="0.2">
      <c r="A183" s="48"/>
      <c r="B183" s="48"/>
      <c r="C183" s="48"/>
      <c r="D183" s="48"/>
      <c r="E183" s="48"/>
      <c r="F183" s="48"/>
      <c r="G183" s="48"/>
      <c r="H183" s="48"/>
    </row>
    <row r="184" spans="1:8" x14ac:dyDescent="0.2">
      <c r="A184" s="48"/>
      <c r="B184" s="48"/>
      <c r="C184" s="48"/>
      <c r="D184" s="48"/>
      <c r="E184" s="48"/>
      <c r="F184" s="48"/>
      <c r="G184" s="48"/>
      <c r="H184" s="48"/>
    </row>
    <row r="185" spans="1:8" x14ac:dyDescent="0.2">
      <c r="A185" s="48"/>
      <c r="B185" s="48"/>
      <c r="C185" s="48"/>
      <c r="D185" s="48"/>
      <c r="E185" s="48"/>
      <c r="F185" s="48"/>
      <c r="G185" s="48"/>
      <c r="H185" s="48"/>
    </row>
    <row r="186" spans="1:8" x14ac:dyDescent="0.2">
      <c r="A186" s="48"/>
      <c r="B186" s="48"/>
      <c r="C186" s="48"/>
      <c r="D186" s="48"/>
      <c r="E186" s="48"/>
      <c r="F186" s="48"/>
      <c r="G186" s="48"/>
      <c r="H186" s="48"/>
    </row>
    <row r="187" spans="1:8" x14ac:dyDescent="0.2">
      <c r="A187" s="48"/>
      <c r="B187" s="48"/>
      <c r="C187" s="48"/>
      <c r="D187" s="48"/>
      <c r="E187" s="48"/>
      <c r="F187" s="48"/>
      <c r="G187" s="48"/>
      <c r="H187" s="48"/>
    </row>
    <row r="188" spans="1:8" x14ac:dyDescent="0.2">
      <c r="A188" s="48"/>
      <c r="B188" s="48"/>
      <c r="C188" s="48"/>
      <c r="D188" s="48"/>
      <c r="E188" s="48"/>
      <c r="F188" s="48"/>
      <c r="G188" s="48"/>
      <c r="H188" s="48"/>
    </row>
    <row r="189" spans="1:8" x14ac:dyDescent="0.2">
      <c r="A189" s="48"/>
      <c r="B189" s="48"/>
      <c r="C189" s="48"/>
      <c r="D189" s="48"/>
      <c r="E189" s="48"/>
      <c r="F189" s="48"/>
      <c r="G189" s="48"/>
      <c r="H189" s="48"/>
    </row>
    <row r="190" spans="1:8" x14ac:dyDescent="0.2">
      <c r="A190" s="48"/>
      <c r="B190" s="48"/>
      <c r="C190" s="48"/>
      <c r="D190" s="48"/>
      <c r="E190" s="48"/>
      <c r="F190" s="48"/>
      <c r="G190" s="48"/>
      <c r="H190" s="48"/>
    </row>
    <row r="191" spans="1:8" x14ac:dyDescent="0.2">
      <c r="A191" s="48"/>
      <c r="B191" s="48"/>
      <c r="C191" s="48"/>
      <c r="D191" s="48"/>
      <c r="E191" s="48"/>
      <c r="F191" s="48"/>
      <c r="G191" s="48"/>
      <c r="H191" s="48"/>
    </row>
    <row r="192" spans="1:8" x14ac:dyDescent="0.2">
      <c r="A192" s="48"/>
      <c r="B192" s="48"/>
      <c r="C192" s="48"/>
      <c r="D192" s="48"/>
      <c r="E192" s="48"/>
      <c r="F192" s="48"/>
      <c r="G192" s="48"/>
      <c r="H192" s="48"/>
    </row>
    <row r="193" spans="1:8" x14ac:dyDescent="0.2">
      <c r="A193" s="48"/>
      <c r="B193" s="48"/>
      <c r="C193" s="48"/>
      <c r="D193" s="48"/>
      <c r="E193" s="48"/>
      <c r="F193" s="48"/>
      <c r="G193" s="48"/>
      <c r="H193" s="48"/>
    </row>
    <row r="194" spans="1:8" x14ac:dyDescent="0.2">
      <c r="A194" s="48"/>
      <c r="B194" s="48"/>
      <c r="C194" s="48"/>
      <c r="D194" s="48"/>
      <c r="E194" s="48"/>
      <c r="F194" s="48"/>
      <c r="G194" s="48"/>
      <c r="H194" s="48"/>
    </row>
    <row r="195" spans="1:8" x14ac:dyDescent="0.2">
      <c r="A195" s="48"/>
      <c r="B195" s="48"/>
      <c r="C195" s="48"/>
      <c r="D195" s="48"/>
      <c r="E195" s="48"/>
      <c r="F195" s="48"/>
      <c r="G195" s="48"/>
      <c r="H195" s="48"/>
    </row>
    <row r="196" spans="1:8" x14ac:dyDescent="0.2">
      <c r="A196" s="48"/>
      <c r="B196" s="48"/>
      <c r="C196" s="48"/>
      <c r="D196" s="48"/>
      <c r="E196" s="48"/>
      <c r="F196" s="48"/>
      <c r="G196" s="48"/>
      <c r="H196" s="48"/>
    </row>
    <row r="197" spans="1:8" x14ac:dyDescent="0.2">
      <c r="A197" s="48"/>
      <c r="B197" s="48"/>
      <c r="C197" s="48"/>
      <c r="D197" s="48"/>
      <c r="E197" s="48"/>
      <c r="F197" s="48"/>
      <c r="G197" s="48"/>
      <c r="H197" s="48"/>
    </row>
    <row r="198" spans="1:8" x14ac:dyDescent="0.2">
      <c r="A198" s="48"/>
      <c r="B198" s="48"/>
      <c r="C198" s="48"/>
      <c r="D198" s="48"/>
      <c r="E198" s="48"/>
      <c r="F198" s="48"/>
      <c r="G198" s="48"/>
      <c r="H198" s="48"/>
    </row>
    <row r="199" spans="1:8" x14ac:dyDescent="0.2">
      <c r="A199" s="48"/>
      <c r="B199" s="48"/>
      <c r="C199" s="48"/>
      <c r="D199" s="48"/>
      <c r="E199" s="48"/>
      <c r="F199" s="48"/>
      <c r="G199" s="48"/>
      <c r="H199" s="48"/>
    </row>
    <row r="200" spans="1:8" x14ac:dyDescent="0.2">
      <c r="A200" s="48"/>
      <c r="B200" s="48"/>
      <c r="C200" s="48"/>
      <c r="D200" s="48"/>
      <c r="E200" s="48"/>
      <c r="F200" s="48"/>
      <c r="G200" s="48"/>
      <c r="H200" s="48"/>
    </row>
    <row r="201" spans="1:8" x14ac:dyDescent="0.2">
      <c r="A201" s="48"/>
      <c r="B201" s="48"/>
      <c r="C201" s="48"/>
      <c r="D201" s="48"/>
      <c r="E201" s="48"/>
      <c r="F201" s="48"/>
      <c r="G201" s="48"/>
      <c r="H201" s="48"/>
    </row>
    <row r="202" spans="1:8" x14ac:dyDescent="0.2">
      <c r="A202" s="48"/>
      <c r="B202" s="48"/>
      <c r="C202" s="48"/>
      <c r="D202" s="48"/>
      <c r="E202" s="48"/>
      <c r="F202" s="48"/>
      <c r="G202" s="48"/>
      <c r="H202" s="48"/>
    </row>
    <row r="203" spans="1:8" x14ac:dyDescent="0.2">
      <c r="A203" s="48"/>
      <c r="B203" s="48"/>
      <c r="C203" s="48"/>
      <c r="D203" s="48"/>
      <c r="E203" s="48"/>
      <c r="F203" s="48"/>
      <c r="G203" s="48"/>
      <c r="H203" s="48"/>
    </row>
    <row r="204" spans="1:8" x14ac:dyDescent="0.2">
      <c r="A204" s="48"/>
      <c r="B204" s="48"/>
      <c r="C204" s="48"/>
      <c r="D204" s="48"/>
      <c r="E204" s="48"/>
      <c r="F204" s="48"/>
      <c r="G204" s="48"/>
      <c r="H204" s="48"/>
    </row>
    <row r="205" spans="1:8" x14ac:dyDescent="0.2">
      <c r="A205" s="48"/>
      <c r="B205" s="48"/>
      <c r="C205" s="48"/>
      <c r="D205" s="48"/>
      <c r="E205" s="48"/>
      <c r="F205" s="48"/>
      <c r="G205" s="48"/>
      <c r="H205" s="48"/>
    </row>
    <row r="206" spans="1:8" x14ac:dyDescent="0.2">
      <c r="A206" s="48"/>
      <c r="B206" s="48"/>
      <c r="C206" s="48"/>
      <c r="D206" s="48"/>
      <c r="E206" s="48"/>
      <c r="F206" s="48"/>
      <c r="G206" s="48"/>
      <c r="H206" s="48"/>
    </row>
    <row r="207" spans="1:8" x14ac:dyDescent="0.2">
      <c r="A207" s="48"/>
      <c r="B207" s="48"/>
      <c r="C207" s="48"/>
      <c r="D207" s="48"/>
      <c r="E207" s="48"/>
      <c r="F207" s="48"/>
      <c r="G207" s="48"/>
      <c r="H207" s="48"/>
    </row>
    <row r="208" spans="1:8" x14ac:dyDescent="0.2">
      <c r="A208" s="48"/>
      <c r="B208" s="48"/>
      <c r="C208" s="48"/>
      <c r="D208" s="48"/>
      <c r="E208" s="48"/>
      <c r="F208" s="48"/>
      <c r="G208" s="48"/>
      <c r="H208" s="48"/>
    </row>
    <row r="209" spans="1:8" x14ac:dyDescent="0.2">
      <c r="A209" s="48"/>
      <c r="B209" s="48"/>
      <c r="C209" s="48"/>
      <c r="D209" s="48"/>
      <c r="E209" s="48"/>
      <c r="F209" s="48"/>
      <c r="G209" s="48"/>
      <c r="H209" s="48"/>
    </row>
    <row r="210" spans="1:8" x14ac:dyDescent="0.2">
      <c r="A210" s="48"/>
      <c r="B210" s="48"/>
      <c r="C210" s="48"/>
      <c r="D210" s="48"/>
      <c r="E210" s="48"/>
      <c r="F210" s="48"/>
      <c r="G210" s="48"/>
      <c r="H210" s="48"/>
    </row>
    <row r="211" spans="1:8" x14ac:dyDescent="0.2">
      <c r="A211" s="48"/>
      <c r="B211" s="48"/>
      <c r="C211" s="48"/>
      <c r="D211" s="48"/>
      <c r="E211" s="48"/>
      <c r="F211" s="48"/>
      <c r="G211" s="48"/>
      <c r="H211" s="48"/>
    </row>
    <row r="212" spans="1:8" x14ac:dyDescent="0.2">
      <c r="A212" s="48"/>
      <c r="B212" s="48"/>
      <c r="C212" s="48"/>
      <c r="D212" s="48"/>
      <c r="E212" s="48"/>
      <c r="F212" s="48"/>
      <c r="G212" s="48"/>
      <c r="H212" s="48"/>
    </row>
    <row r="213" spans="1:8" x14ac:dyDescent="0.2">
      <c r="A213" s="48"/>
      <c r="B213" s="48"/>
      <c r="C213" s="48"/>
      <c r="D213" s="48"/>
      <c r="E213" s="48"/>
      <c r="F213" s="48"/>
      <c r="G213" s="48"/>
      <c r="H213" s="48"/>
    </row>
    <row r="214" spans="1:8" x14ac:dyDescent="0.2">
      <c r="A214" s="48"/>
      <c r="B214" s="48"/>
      <c r="C214" s="48"/>
      <c r="D214" s="48"/>
      <c r="E214" s="48"/>
      <c r="F214" s="48"/>
      <c r="G214" s="48"/>
      <c r="H214" s="48"/>
    </row>
    <row r="215" spans="1:8" x14ac:dyDescent="0.2">
      <c r="A215" s="48"/>
      <c r="B215" s="48"/>
      <c r="C215" s="48"/>
      <c r="D215" s="48"/>
      <c r="E215" s="48"/>
      <c r="F215" s="48"/>
      <c r="G215" s="48"/>
      <c r="H215" s="48"/>
    </row>
    <row r="216" spans="1:8" x14ac:dyDescent="0.2">
      <c r="A216" s="48"/>
      <c r="B216" s="48"/>
      <c r="C216" s="48"/>
      <c r="D216" s="48"/>
      <c r="E216" s="48"/>
      <c r="F216" s="48"/>
      <c r="G216" s="48"/>
      <c r="H216" s="48"/>
    </row>
    <row r="217" spans="1:8" x14ac:dyDescent="0.2">
      <c r="A217" s="48"/>
      <c r="B217" s="48"/>
      <c r="C217" s="48"/>
      <c r="D217" s="48"/>
      <c r="E217" s="48"/>
      <c r="F217" s="48"/>
      <c r="G217" s="48"/>
      <c r="H217" s="48"/>
    </row>
    <row r="218" spans="1:8" x14ac:dyDescent="0.2">
      <c r="A218" s="48"/>
      <c r="B218" s="48"/>
      <c r="C218" s="48"/>
      <c r="D218" s="48"/>
      <c r="E218" s="48"/>
      <c r="F218" s="48"/>
      <c r="G218" s="48"/>
      <c r="H218" s="48"/>
    </row>
    <row r="219" spans="1:8" x14ac:dyDescent="0.2">
      <c r="A219" s="48"/>
      <c r="B219" s="48"/>
      <c r="C219" s="48"/>
      <c r="D219" s="48"/>
      <c r="E219" s="48"/>
      <c r="F219" s="48"/>
      <c r="G219" s="48"/>
      <c r="H219" s="48"/>
    </row>
    <row r="220" spans="1:8" x14ac:dyDescent="0.2">
      <c r="A220" s="48"/>
      <c r="B220" s="48"/>
      <c r="C220" s="48"/>
      <c r="D220" s="48"/>
      <c r="E220" s="48"/>
      <c r="F220" s="48"/>
      <c r="G220" s="48"/>
      <c r="H220" s="48"/>
    </row>
    <row r="221" spans="1:8" x14ac:dyDescent="0.2">
      <c r="A221" s="48"/>
      <c r="B221" s="48"/>
      <c r="C221" s="48"/>
      <c r="D221" s="48"/>
      <c r="E221" s="48"/>
      <c r="F221" s="48"/>
      <c r="G221" s="48"/>
      <c r="H221" s="48"/>
    </row>
    <row r="222" spans="1:8" x14ac:dyDescent="0.2">
      <c r="A222" s="48"/>
      <c r="B222" s="48"/>
      <c r="C222" s="48"/>
      <c r="D222" s="48"/>
      <c r="E222" s="48"/>
      <c r="F222" s="48"/>
      <c r="G222" s="48"/>
      <c r="H222" s="48"/>
    </row>
    <row r="223" spans="1:8" x14ac:dyDescent="0.2">
      <c r="A223" s="48"/>
      <c r="B223" s="48"/>
      <c r="C223" s="48"/>
      <c r="D223" s="48"/>
      <c r="E223" s="48"/>
      <c r="F223" s="48"/>
      <c r="G223" s="48"/>
      <c r="H223" s="48"/>
    </row>
    <row r="224" spans="1:8" x14ac:dyDescent="0.2">
      <c r="A224" s="48"/>
      <c r="B224" s="48"/>
      <c r="C224" s="48"/>
      <c r="D224" s="48"/>
      <c r="E224" s="48"/>
      <c r="F224" s="48"/>
      <c r="G224" s="48"/>
      <c r="H224" s="48"/>
    </row>
  </sheetData>
  <sheetProtection algorithmName="SHA-512" hashValue="+eTWDKn3RwhewhE2Ld7jC/W51e9Vxq4ZybUExEYddAd+cnkYXTm+l9BgBr+nRjC/5aJrZ4V4hzAGnWTirM+J/Q==" saltValue="AuAX55EkAoDTTe4rRoSY0g==" spinCount="100000" sheet="1" objects="1" scenarios="1"/>
  <pageMargins left="0.75" right="0.75" top="1" bottom="1" header="0.5" footer="0.5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R361"/>
  <sheetViews>
    <sheetView zoomScale="89" workbookViewId="0">
      <selection activeCell="E14" sqref="E14"/>
    </sheetView>
  </sheetViews>
  <sheetFormatPr baseColWidth="10" defaultRowHeight="16" x14ac:dyDescent="0.2"/>
  <cols>
    <col min="1" max="1" width="32" style="36" bestFit="1" customWidth="1"/>
    <col min="2" max="4" width="12.83203125" style="36" customWidth="1"/>
    <col min="5" max="5" width="12.83203125" style="64" customWidth="1"/>
    <col min="6" max="11" width="12.83203125" style="36" customWidth="1"/>
    <col min="12" max="12" width="12.1640625" style="36" bestFit="1" customWidth="1"/>
    <col min="13" max="13" width="13.5" style="36" bestFit="1" customWidth="1"/>
    <col min="14" max="14" width="12.33203125" style="36" bestFit="1" customWidth="1"/>
    <col min="15" max="15" width="12.5" style="36" bestFit="1" customWidth="1"/>
    <col min="16" max="16" width="14" style="36" bestFit="1" customWidth="1"/>
    <col min="17" max="17" width="12.83203125" style="36" bestFit="1" customWidth="1"/>
    <col min="18" max="18" width="12.5" style="36" bestFit="1" customWidth="1"/>
    <col min="19" max="19" width="14" style="36" bestFit="1" customWidth="1"/>
    <col min="20" max="20" width="12.83203125" style="36" bestFit="1" customWidth="1"/>
    <col min="21" max="21" width="13.5" style="36" bestFit="1" customWidth="1"/>
    <col min="22" max="23" width="15" style="36" bestFit="1" customWidth="1"/>
    <col min="24" max="24" width="13.5" style="36" bestFit="1" customWidth="1"/>
    <col min="25" max="26" width="15" style="36" bestFit="1" customWidth="1"/>
    <col min="27" max="29" width="10.83203125" style="36"/>
    <col min="30" max="30" width="12" style="36" bestFit="1" customWidth="1"/>
    <col min="31" max="41" width="10.83203125" style="36"/>
  </cols>
  <sheetData>
    <row r="2" spans="1:10" x14ac:dyDescent="0.2">
      <c r="A2" s="36" t="s">
        <v>110</v>
      </c>
    </row>
    <row r="3" spans="1:10" x14ac:dyDescent="0.2">
      <c r="A3" s="36" t="s">
        <v>416</v>
      </c>
    </row>
    <row r="4" spans="1:10" x14ac:dyDescent="0.2">
      <c r="A4" s="122" t="s">
        <v>101</v>
      </c>
      <c r="B4" s="138" t="s">
        <v>104</v>
      </c>
      <c r="C4" s="138"/>
      <c r="D4" s="138"/>
      <c r="E4" s="90"/>
    </row>
    <row r="5" spans="1:10" x14ac:dyDescent="0.2">
      <c r="A5" s="122"/>
      <c r="B5" s="91" t="s">
        <v>68</v>
      </c>
      <c r="C5" s="91" t="s">
        <v>63</v>
      </c>
      <c r="D5" s="91" t="s">
        <v>69</v>
      </c>
    </row>
    <row r="6" spans="1:10" x14ac:dyDescent="0.2">
      <c r="A6" s="92" t="s">
        <v>98</v>
      </c>
      <c r="B6" s="93">
        <f>IFERROR(I105,"-")</f>
        <v>0</v>
      </c>
      <c r="C6" s="93">
        <f>IFERROR(I105,"-")</f>
        <v>0</v>
      </c>
      <c r="D6" s="94">
        <f>IFERROR(I105,"-")</f>
        <v>0</v>
      </c>
      <c r="E6" s="95"/>
    </row>
    <row r="7" spans="1:10" x14ac:dyDescent="0.2">
      <c r="A7" s="96" t="s">
        <v>1</v>
      </c>
      <c r="B7" s="97" t="str">
        <f>IFERROR(J105,"-")</f>
        <v>-</v>
      </c>
      <c r="C7" s="97" t="str">
        <f>IFERROR(K105,"-")</f>
        <v>-</v>
      </c>
      <c r="D7" s="98" t="str">
        <f>IFERROR(L105,"-")</f>
        <v>-</v>
      </c>
      <c r="E7" s="95"/>
    </row>
    <row r="8" spans="1:10" x14ac:dyDescent="0.2">
      <c r="A8" s="96" t="s">
        <v>432</v>
      </c>
      <c r="B8" s="97" t="str">
        <f>IFERROR(M105,"-")</f>
        <v>-</v>
      </c>
      <c r="C8" s="97" t="str">
        <f>IFERROR(N105,"-")</f>
        <v>-</v>
      </c>
      <c r="D8" s="98" t="str">
        <f>IFERROR(O105,"-")</f>
        <v>-</v>
      </c>
      <c r="E8" s="95"/>
    </row>
    <row r="9" spans="1:10" x14ac:dyDescent="0.2">
      <c r="A9" s="99" t="s">
        <v>434</v>
      </c>
      <c r="B9" s="100" t="str">
        <f>IFERROR(W105,"-")</f>
        <v>-</v>
      </c>
      <c r="C9" s="100" t="str">
        <f>IFERROR(X105,"-")</f>
        <v>-</v>
      </c>
      <c r="D9" s="101" t="str">
        <f>IFERROR(Y105,"-")</f>
        <v>-</v>
      </c>
      <c r="E9" s="102"/>
    </row>
    <row r="10" spans="1:10" x14ac:dyDescent="0.2">
      <c r="A10" s="103" t="s">
        <v>435</v>
      </c>
      <c r="B10" s="104" t="str">
        <f>IFERROR(AF105,"-")</f>
        <v>-</v>
      </c>
      <c r="C10" s="104" t="str">
        <f>IFERROR(AG105,"-")</f>
        <v>-</v>
      </c>
      <c r="D10" s="105" t="str">
        <f>IFERROR(AH105,"-")</f>
        <v>-</v>
      </c>
      <c r="E10" s="106"/>
    </row>
    <row r="11" spans="1:10" x14ac:dyDescent="0.2">
      <c r="A11" s="96"/>
      <c r="B11" s="107"/>
      <c r="C11" s="107"/>
      <c r="D11" s="108"/>
      <c r="E11" s="95"/>
    </row>
    <row r="12" spans="1:10" x14ac:dyDescent="0.2">
      <c r="A12" s="75" t="s">
        <v>105</v>
      </c>
      <c r="B12" s="42">
        <f>SUM(B6:B8)</f>
        <v>0</v>
      </c>
      <c r="C12" s="42">
        <f>SUM(C6:C8)</f>
        <v>0</v>
      </c>
      <c r="D12" s="43">
        <f>SUM(D6:D8)</f>
        <v>0</v>
      </c>
      <c r="E12" s="95"/>
      <c r="J12" s="109"/>
    </row>
    <row r="13" spans="1:10" x14ac:dyDescent="0.2">
      <c r="A13" s="76" t="s">
        <v>106</v>
      </c>
      <c r="B13" s="44" t="str">
        <f>IF(SUM(B9,B10)=0,"-",SUM(B9:B10))</f>
        <v>-</v>
      </c>
      <c r="C13" s="44" t="str">
        <f>IF(SUM(C9,C10)=0,"-",SUM(C9:C10))</f>
        <v>-</v>
      </c>
      <c r="D13" s="45" t="str">
        <f>IF(SUM(D9,D10)=0,"-",SUM(D9:D10))</f>
        <v>-</v>
      </c>
      <c r="E13" s="53"/>
      <c r="J13" s="109"/>
    </row>
    <row r="14" spans="1:10" x14ac:dyDescent="0.2">
      <c r="A14" s="74"/>
      <c r="B14" s="53"/>
      <c r="C14" s="53"/>
      <c r="D14" s="53"/>
      <c r="E14" s="53"/>
      <c r="J14" s="109"/>
    </row>
    <row r="15" spans="1:10" x14ac:dyDescent="0.2">
      <c r="A15" s="64"/>
      <c r="B15" s="64"/>
      <c r="C15" s="64"/>
      <c r="D15" s="64"/>
      <c r="G15" s="109"/>
      <c r="H15" s="109"/>
      <c r="I15" s="109"/>
      <c r="J15" s="109"/>
    </row>
    <row r="16" spans="1:10" x14ac:dyDescent="0.2">
      <c r="A16" s="109"/>
      <c r="B16" s="109"/>
      <c r="C16" s="109"/>
      <c r="D16" s="109"/>
      <c r="F16" s="109"/>
      <c r="G16" s="109"/>
      <c r="H16" s="109"/>
      <c r="I16" s="109"/>
      <c r="J16" s="109"/>
    </row>
    <row r="17" spans="1:10" x14ac:dyDescent="0.2">
      <c r="A17" s="109"/>
      <c r="B17" s="109"/>
      <c r="C17" s="109"/>
      <c r="D17" s="109"/>
      <c r="F17" s="109"/>
      <c r="G17" s="109"/>
      <c r="H17" s="109"/>
      <c r="I17" s="109"/>
      <c r="J17" s="109"/>
    </row>
    <row r="18" spans="1:10" x14ac:dyDescent="0.2">
      <c r="A18" s="109" t="s">
        <v>417</v>
      </c>
      <c r="B18" s="109"/>
      <c r="C18" s="109"/>
      <c r="D18" s="109"/>
      <c r="F18" s="109"/>
      <c r="G18" s="109"/>
      <c r="H18" s="109"/>
      <c r="I18" s="109"/>
      <c r="J18" s="109"/>
    </row>
    <row r="19" spans="1:10" x14ac:dyDescent="0.2">
      <c r="B19" s="88" t="s">
        <v>272</v>
      </c>
      <c r="C19" s="89" t="s">
        <v>270</v>
      </c>
      <c r="E19" s="36"/>
      <c r="I19" s="109"/>
      <c r="J19" s="109"/>
    </row>
    <row r="20" spans="1:10" x14ac:dyDescent="0.2">
      <c r="B20" s="140" t="s">
        <v>271</v>
      </c>
      <c r="C20" s="141"/>
      <c r="D20" s="141"/>
      <c r="E20" s="141"/>
      <c r="F20" s="141"/>
      <c r="G20" s="141"/>
      <c r="H20" s="141"/>
      <c r="I20" s="141"/>
      <c r="J20" s="142"/>
    </row>
    <row r="21" spans="1:10" x14ac:dyDescent="0.2">
      <c r="A21" s="138" t="s">
        <v>101</v>
      </c>
      <c r="B21" s="146" t="s">
        <v>268</v>
      </c>
      <c r="C21" s="146"/>
      <c r="D21" s="146"/>
      <c r="E21" s="147" t="s">
        <v>498</v>
      </c>
      <c r="F21" s="148"/>
      <c r="G21" s="149"/>
      <c r="H21" s="120" t="s">
        <v>425</v>
      </c>
      <c r="I21" s="121"/>
      <c r="J21" s="122"/>
    </row>
    <row r="22" spans="1:10" x14ac:dyDescent="0.2">
      <c r="A22" s="138"/>
      <c r="B22" s="110" t="s">
        <v>68</v>
      </c>
      <c r="C22" s="110" t="s">
        <v>415</v>
      </c>
      <c r="D22" s="110" t="s">
        <v>69</v>
      </c>
      <c r="E22" s="110" t="s">
        <v>68</v>
      </c>
      <c r="F22" s="110" t="s">
        <v>415</v>
      </c>
      <c r="G22" s="110" t="s">
        <v>69</v>
      </c>
      <c r="H22" s="110" t="s">
        <v>68</v>
      </c>
      <c r="I22" s="110" t="s">
        <v>415</v>
      </c>
      <c r="J22" s="110" t="s">
        <v>69</v>
      </c>
    </row>
    <row r="23" spans="1:10" x14ac:dyDescent="0.2">
      <c r="A23" s="91" t="s">
        <v>98</v>
      </c>
      <c r="B23" s="139" t="str">
        <f>LOOKUP(C19,'Modelled burden estimates'!A3:A143,'Modelled burden estimates'!G3:G143)</f>
        <v>-</v>
      </c>
      <c r="C23" s="139" t="str">
        <f>LOOKUP(C19,'Modelled burden estimates'!A3:A143,'Modelled burden estimates'!F3:F143)</f>
        <v>-</v>
      </c>
      <c r="D23" s="139" t="str">
        <f>LOOKUP(C19,'Modelled burden estimates'!A3:A143,'Modelled burden estimates'!H3:H143)</f>
        <v>-</v>
      </c>
      <c r="E23" s="111" t="str">
        <f>LOOKUP(C19,'Modelled burden estimates'!A3:A143,'Modelled burden estimates'!P3:P143)</f>
        <v>-</v>
      </c>
      <c r="F23" s="111" t="str">
        <f>LOOKUP(C19,'Modelled burden estimates'!A3:A143,'Modelled burden estimates'!O3:O143)</f>
        <v>-</v>
      </c>
      <c r="G23" s="111" t="str">
        <f>LOOKUP(C19,'Modelled burden estimates'!A3:A143,'Modelled burden estimates'!Q3:Q143)</f>
        <v>-</v>
      </c>
      <c r="H23" s="112" t="str">
        <f>LOOKUP(C19,'Modelled burden estimates'!A3:A143,'Modelled burden estimates'!S3:'Modelled burden estimates'!S143)</f>
        <v>-</v>
      </c>
      <c r="I23" s="111" t="str">
        <f>LOOKUP(C19,'Modelled burden estimates'!A3:A143,'Modelled burden estimates'!R3:'Modelled burden estimates'!R143)</f>
        <v>-</v>
      </c>
      <c r="J23" s="111" t="str">
        <f>LOOKUP(C19,'Modelled burden estimates'!A3:A143,'Modelled burden estimates'!T3:'Modelled burden estimates'!T143)</f>
        <v>-</v>
      </c>
    </row>
    <row r="24" spans="1:10" x14ac:dyDescent="0.2">
      <c r="A24" s="113" t="s">
        <v>1</v>
      </c>
      <c r="B24" s="139"/>
      <c r="C24" s="139"/>
      <c r="D24" s="139"/>
      <c r="E24" s="139" t="str">
        <f>LOOKUP(C19,'Modelled burden estimates'!A3:A143,'Modelled burden estimates'!M3:M143)</f>
        <v>-</v>
      </c>
      <c r="F24" s="139" t="str">
        <f>LOOKUP(C19,'Modelled burden estimates'!A3:A143,'Modelled burden estimates'!L3:L143)</f>
        <v>-</v>
      </c>
      <c r="G24" s="139" t="str">
        <f>LOOKUP(C19,'Modelled burden estimates'!A3:A143,'Modelled burden estimates'!N3:N143)</f>
        <v>-</v>
      </c>
      <c r="H24" s="143" t="str">
        <f>IF(H23="-","-",LOOKUP(C19,'Modelled burden estimates'!A3:A143,'Modelled burden estimates'!V3:V143)*(I24/(I27+I23+I24)))</f>
        <v>-</v>
      </c>
      <c r="I24" s="143" t="str">
        <f>LOOKUP(C19,'Modelled burden estimates'!A3:A143,'Modelled burden estimates'!X3:X143)</f>
        <v>-</v>
      </c>
      <c r="J24" s="143" t="str">
        <f>IF(J23="-","-",LOOKUP(C19,'Modelled burden estimates'!A3:A143,'Modelled burden estimates'!W3:W143)*(I24/(I24+I23+I27)))</f>
        <v>-</v>
      </c>
    </row>
    <row r="25" spans="1:10" x14ac:dyDescent="0.2">
      <c r="A25" s="113" t="s">
        <v>99</v>
      </c>
      <c r="B25" s="139"/>
      <c r="C25" s="139"/>
      <c r="D25" s="139"/>
      <c r="E25" s="139"/>
      <c r="F25" s="139"/>
      <c r="G25" s="139"/>
      <c r="H25" s="144"/>
      <c r="I25" s="144"/>
      <c r="J25" s="144"/>
    </row>
    <row r="26" spans="1:10" x14ac:dyDescent="0.2">
      <c r="A26" s="114" t="s">
        <v>100</v>
      </c>
      <c r="B26" s="139"/>
      <c r="C26" s="139"/>
      <c r="D26" s="139"/>
      <c r="E26" s="139"/>
      <c r="F26" s="139"/>
      <c r="G26" s="139"/>
      <c r="H26" s="145"/>
      <c r="I26" s="145"/>
      <c r="J26" s="145"/>
    </row>
    <row r="27" spans="1:10" x14ac:dyDescent="0.2">
      <c r="A27" s="114" t="s">
        <v>102</v>
      </c>
      <c r="B27" s="139"/>
      <c r="C27" s="139"/>
      <c r="D27" s="139"/>
      <c r="E27" s="139"/>
      <c r="F27" s="139"/>
      <c r="G27" s="139"/>
      <c r="H27" s="111" t="str">
        <f>IF(H23="-","-",LOOKUP(C19,'Modelled burden estimates'!A3:A143,'Modelled burden estimates'!V3:V143)*(I27/(I24+I23+I27)))</f>
        <v>-</v>
      </c>
      <c r="I27" s="111" t="str">
        <f>IF(I23="-","-",LOOKUP(C19,'Modelled burden estimates'!A3:A143,'Modelled burden estimates'!U3:U143)-I24-I23)</f>
        <v>-</v>
      </c>
      <c r="J27" s="111" t="str">
        <f>IF(J23="-","-",LOOKUP(C19,'Modelled burden estimates'!A3:A143,'Modelled burden estimates'!W3:W143)*(I27/(I24+I23+I27)))</f>
        <v>-</v>
      </c>
    </row>
    <row r="28" spans="1:10" x14ac:dyDescent="0.2">
      <c r="A28" s="115" t="s">
        <v>103</v>
      </c>
      <c r="B28" s="111" t="str">
        <f>LOOKUP(C19,'Modelled burden estimates'!A3:A143,'Modelled burden estimates'!J3:J143)</f>
        <v>-</v>
      </c>
      <c r="C28" s="111" t="str">
        <f>LOOKUP(C19,'Modelled burden estimates'!A3:A143,'Modelled burden estimates'!I3:I143)</f>
        <v>-</v>
      </c>
      <c r="D28" s="111" t="str">
        <f>LOOKUP(C19,'Modelled burden estimates'!A3:A143,'Modelled burden estimates'!K3:K143)</f>
        <v>-</v>
      </c>
      <c r="E28" s="111" t="s">
        <v>94</v>
      </c>
      <c r="F28" s="111" t="s">
        <v>94</v>
      </c>
      <c r="G28" s="111" t="s">
        <v>94</v>
      </c>
      <c r="H28" s="116" t="s">
        <v>94</v>
      </c>
      <c r="I28" s="116" t="s">
        <v>94</v>
      </c>
      <c r="J28" s="116" t="s">
        <v>94</v>
      </c>
    </row>
    <row r="29" spans="1:10" x14ac:dyDescent="0.2">
      <c r="A29" s="109"/>
      <c r="B29" s="109"/>
      <c r="C29" s="109"/>
      <c r="D29" s="109"/>
      <c r="F29" s="109"/>
      <c r="G29" s="109"/>
      <c r="H29" s="109"/>
      <c r="I29" s="109"/>
      <c r="J29" s="109"/>
    </row>
    <row r="30" spans="1:10" x14ac:dyDescent="0.2">
      <c r="A30" s="109"/>
      <c r="B30" s="109"/>
      <c r="C30" s="109"/>
      <c r="D30" s="109"/>
      <c r="F30" s="109"/>
      <c r="G30" s="109"/>
      <c r="H30" s="109"/>
      <c r="I30" s="109"/>
      <c r="J30" s="109"/>
    </row>
    <row r="31" spans="1:10" x14ac:dyDescent="0.2">
      <c r="A31" s="109"/>
      <c r="B31" s="109"/>
      <c r="C31" s="109"/>
      <c r="D31" s="109"/>
      <c r="F31" s="109"/>
      <c r="G31" s="109"/>
      <c r="H31" s="109"/>
      <c r="I31" s="109"/>
      <c r="J31" s="109"/>
    </row>
    <row r="32" spans="1:10" x14ac:dyDescent="0.2">
      <c r="A32" s="109"/>
      <c r="B32" s="109"/>
      <c r="C32" s="109"/>
      <c r="D32" s="109"/>
      <c r="F32" s="109"/>
      <c r="G32" s="109"/>
      <c r="H32" s="109"/>
      <c r="I32" s="109"/>
      <c r="J32" s="109"/>
    </row>
    <row r="33" spans="1:44" x14ac:dyDescent="0.2">
      <c r="A33" s="109"/>
      <c r="B33" s="109"/>
      <c r="C33" s="109"/>
      <c r="D33" s="109"/>
      <c r="F33" s="109"/>
      <c r="G33" s="109"/>
      <c r="H33" s="109"/>
      <c r="I33" s="109"/>
      <c r="J33" s="109"/>
    </row>
    <row r="34" spans="1:44" x14ac:dyDescent="0.2">
      <c r="A34" s="109"/>
      <c r="B34" s="109"/>
      <c r="C34" s="109"/>
      <c r="D34" s="109"/>
      <c r="F34" s="109"/>
      <c r="G34" s="109"/>
      <c r="H34" s="109"/>
      <c r="I34" s="109"/>
      <c r="J34" s="109"/>
    </row>
    <row r="35" spans="1:44" x14ac:dyDescent="0.2">
      <c r="A35" s="109"/>
      <c r="B35" s="109"/>
      <c r="C35" s="109"/>
      <c r="D35" s="109"/>
      <c r="F35" s="109"/>
      <c r="G35" s="109"/>
      <c r="H35" s="109"/>
      <c r="I35" s="109"/>
      <c r="J35" s="109"/>
    </row>
    <row r="36" spans="1:44" x14ac:dyDescent="0.2">
      <c r="A36" s="109"/>
      <c r="B36" s="109"/>
      <c r="C36" s="109"/>
      <c r="D36" s="109"/>
      <c r="F36" s="109"/>
      <c r="G36" s="109"/>
      <c r="H36" s="109"/>
      <c r="I36" s="109"/>
      <c r="J36" s="109"/>
    </row>
    <row r="37" spans="1:44" x14ac:dyDescent="0.2">
      <c r="A37" s="109"/>
      <c r="B37" s="109"/>
      <c r="C37" s="109"/>
      <c r="D37" s="109"/>
      <c r="F37" s="109"/>
      <c r="G37" s="109"/>
      <c r="H37" s="109"/>
      <c r="I37" s="109"/>
      <c r="J37" s="109"/>
    </row>
    <row r="38" spans="1:44" x14ac:dyDescent="0.2">
      <c r="A38" s="109"/>
      <c r="B38" s="109"/>
      <c r="C38" s="109"/>
      <c r="D38" s="109"/>
      <c r="F38" s="109"/>
      <c r="G38" s="109"/>
      <c r="H38" s="109"/>
      <c r="I38" s="109"/>
      <c r="J38" s="109"/>
    </row>
    <row r="39" spans="1:44" x14ac:dyDescent="0.2">
      <c r="A39" s="109"/>
      <c r="B39" s="109"/>
      <c r="C39" s="109"/>
      <c r="D39" s="109"/>
      <c r="F39" s="109"/>
      <c r="G39" s="109"/>
      <c r="H39" s="109"/>
      <c r="I39" s="109"/>
      <c r="J39" s="109"/>
    </row>
    <row r="40" spans="1:44" x14ac:dyDescent="0.2">
      <c r="A40" s="109"/>
      <c r="B40" s="109"/>
      <c r="C40" s="109"/>
      <c r="D40" s="109"/>
      <c r="F40" s="109"/>
      <c r="G40" s="109"/>
      <c r="H40" s="109"/>
      <c r="I40" s="109"/>
      <c r="J40" s="109"/>
    </row>
    <row r="41" spans="1:44" x14ac:dyDescent="0.2">
      <c r="A41" s="109"/>
      <c r="B41" s="109"/>
      <c r="C41" s="109"/>
      <c r="D41" s="109"/>
      <c r="F41" s="109"/>
      <c r="G41" s="109"/>
      <c r="H41" s="109"/>
      <c r="I41" s="109"/>
      <c r="J41" s="109"/>
    </row>
    <row r="42" spans="1:44" x14ac:dyDescent="0.2">
      <c r="A42" s="109"/>
      <c r="B42" s="109"/>
      <c r="C42" s="109"/>
      <c r="D42" s="109"/>
      <c r="F42" s="109"/>
      <c r="G42" s="109"/>
      <c r="H42" s="109"/>
      <c r="I42" s="109"/>
      <c r="J42" s="109"/>
    </row>
    <row r="43" spans="1:44" x14ac:dyDescent="0.2">
      <c r="A43" s="109"/>
      <c r="B43" s="109"/>
      <c r="C43" s="109"/>
      <c r="D43" s="109"/>
      <c r="F43" s="109"/>
      <c r="G43" s="109"/>
      <c r="H43" s="109"/>
      <c r="I43" s="109"/>
      <c r="J43" s="109"/>
    </row>
    <row r="44" spans="1:44" x14ac:dyDescent="0.2">
      <c r="A44" s="109"/>
      <c r="B44" s="109"/>
      <c r="C44" s="109"/>
      <c r="D44" s="109"/>
      <c r="F44" s="109"/>
      <c r="G44" s="109"/>
      <c r="H44" s="109"/>
      <c r="I44" s="109"/>
      <c r="J44" s="109"/>
    </row>
    <row r="48" spans="1:44" x14ac:dyDescent="0.2">
      <c r="AP48" s="36"/>
      <c r="AQ48" s="36"/>
      <c r="AR48" s="36"/>
    </row>
    <row r="49" spans="1:44" x14ac:dyDescent="0.2">
      <c r="A49" s="37"/>
      <c r="B49" s="37"/>
      <c r="C49" s="37"/>
      <c r="D49" s="37"/>
      <c r="E49" s="81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P49" s="36"/>
      <c r="AQ49" s="36"/>
      <c r="AR49" s="36"/>
    </row>
    <row r="50" spans="1:44" x14ac:dyDescent="0.2">
      <c r="A50" s="117" t="s">
        <v>426</v>
      </c>
      <c r="B50" s="37" t="s">
        <v>428</v>
      </c>
      <c r="C50" s="37" t="s">
        <v>415</v>
      </c>
      <c r="D50" s="37" t="s">
        <v>427</v>
      </c>
      <c r="E50" s="81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P50" s="36"/>
      <c r="AQ50" s="36"/>
      <c r="AR50" s="36"/>
    </row>
    <row r="51" spans="1:44" x14ac:dyDescent="0.2">
      <c r="A51" s="117" t="s">
        <v>429</v>
      </c>
      <c r="B51" s="82">
        <f>SUM(C6:C9)-SUM(B6:B9)</f>
        <v>0</v>
      </c>
      <c r="C51" s="82">
        <f>SUM(C6:C9)</f>
        <v>0</v>
      </c>
      <c r="D51" s="82">
        <f>SUM(D6:D9)-SUM(C6:C9)</f>
        <v>0</v>
      </c>
      <c r="E51" s="81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P51" s="36"/>
      <c r="AQ51" s="36"/>
      <c r="AR51" s="36"/>
    </row>
    <row r="52" spans="1:44" x14ac:dyDescent="0.2">
      <c r="A52" s="37" t="s">
        <v>268</v>
      </c>
      <c r="B52" s="82" t="str">
        <f>IFERROR(C52-B23,"-")</f>
        <v>-</v>
      </c>
      <c r="C52" s="82" t="str">
        <f>IFERROR(C23,"-")</f>
        <v>-</v>
      </c>
      <c r="D52" s="82" t="str">
        <f>IFERROR(D23-C52,"-")</f>
        <v>-</v>
      </c>
      <c r="E52" s="81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P52" s="36"/>
      <c r="AQ52" s="36"/>
      <c r="AR52" s="36"/>
    </row>
    <row r="53" spans="1:44" x14ac:dyDescent="0.2">
      <c r="A53" s="37" t="s">
        <v>498</v>
      </c>
      <c r="B53" s="82" t="str">
        <f>IFERROR(C53-(E23+E24),"-")</f>
        <v>-</v>
      </c>
      <c r="C53" s="82" t="str">
        <f>IFERROR(F23+F24,"-")</f>
        <v>-</v>
      </c>
      <c r="D53" s="82" t="str">
        <f>IFERROR(G23+G24-C53,"-")</f>
        <v>-</v>
      </c>
      <c r="E53" s="8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P53" s="36"/>
      <c r="AQ53" s="36"/>
      <c r="AR53" s="36"/>
    </row>
    <row r="54" spans="1:44" x14ac:dyDescent="0.2">
      <c r="A54" s="37" t="s">
        <v>425</v>
      </c>
      <c r="B54" s="82" t="str">
        <f>IFERROR(C54-(H23+H24+H27),"-")</f>
        <v>-</v>
      </c>
      <c r="C54" s="82" t="str">
        <f>IFERROR(I23+I24+I27,"-")</f>
        <v>-</v>
      </c>
      <c r="D54" s="82" t="str">
        <f>IFERROR(J23+J24+J27-C54,"-")</f>
        <v>-</v>
      </c>
      <c r="E54" s="8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P54" s="36"/>
      <c r="AQ54" s="36"/>
      <c r="AR54" s="36"/>
    </row>
    <row r="55" spans="1:44" x14ac:dyDescent="0.2">
      <c r="A55" s="37"/>
      <c r="B55" s="37"/>
      <c r="C55" s="37"/>
      <c r="D55" s="37"/>
      <c r="E55" s="8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P55" s="36"/>
      <c r="AQ55" s="36"/>
      <c r="AR55" s="36"/>
    </row>
    <row r="56" spans="1:44" x14ac:dyDescent="0.2">
      <c r="A56" s="37"/>
      <c r="B56" s="37"/>
      <c r="C56" s="37"/>
      <c r="D56" s="37"/>
      <c r="E56" s="8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P56" s="36"/>
      <c r="AQ56" s="36"/>
      <c r="AR56" s="36"/>
    </row>
    <row r="57" spans="1:44" x14ac:dyDescent="0.2">
      <c r="A57" s="37"/>
      <c r="B57" s="37"/>
      <c r="C57" s="37"/>
      <c r="D57" s="37"/>
      <c r="E57" s="81"/>
      <c r="F57" s="37"/>
      <c r="G57" s="37"/>
      <c r="H57" s="37"/>
      <c r="I57" s="37"/>
      <c r="J57" s="37"/>
      <c r="K57" s="37"/>
      <c r="L57" s="37" t="s">
        <v>528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P57" s="36"/>
      <c r="AQ57" s="36"/>
      <c r="AR57" s="36"/>
    </row>
    <row r="58" spans="1:44" x14ac:dyDescent="0.2">
      <c r="A58" s="37"/>
      <c r="B58" s="37"/>
      <c r="C58" s="37"/>
      <c r="D58" s="37"/>
      <c r="E58" s="81"/>
      <c r="F58" s="37"/>
      <c r="G58" s="37"/>
      <c r="H58" s="37"/>
      <c r="I58" s="37"/>
      <c r="J58" s="37"/>
      <c r="K58" s="37"/>
      <c r="L58" s="37" t="e">
        <f>U61+S61/(S62*Q66*S63)+Q61/(Q62*Q65*Q66*Q67)+(Q63*Q64)/(Q62*Q65*Q66*Q67)</f>
        <v>#DIV/0!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 t="s">
        <v>549</v>
      </c>
      <c r="Z58" s="37" t="s">
        <v>550</v>
      </c>
      <c r="AA58" s="37" t="s">
        <v>551</v>
      </c>
      <c r="AB58" s="37" t="s">
        <v>552</v>
      </c>
      <c r="AC58" s="37" t="s">
        <v>553</v>
      </c>
      <c r="AD58" s="37" t="s">
        <v>554</v>
      </c>
      <c r="AE58" s="37" t="s">
        <v>555</v>
      </c>
      <c r="AF58" s="37" t="s">
        <v>556</v>
      </c>
      <c r="AG58" s="37" t="s">
        <v>557</v>
      </c>
      <c r="AH58" s="37"/>
      <c r="AI58" s="37"/>
      <c r="AJ58" s="37"/>
      <c r="AK58" s="37"/>
      <c r="AL58" s="37"/>
      <c r="AM58" s="37"/>
      <c r="AP58" s="36"/>
      <c r="AQ58" s="36"/>
      <c r="AR58" s="36"/>
    </row>
    <row r="59" spans="1:44" x14ac:dyDescent="0.2">
      <c r="A59" s="37"/>
      <c r="B59" s="37"/>
      <c r="C59" s="37"/>
      <c r="D59" s="37"/>
      <c r="E59" s="81"/>
      <c r="F59" s="37"/>
      <c r="G59" s="37"/>
      <c r="H59" s="37"/>
      <c r="I59" s="37"/>
      <c r="J59" s="37" t="s">
        <v>501</v>
      </c>
      <c r="K59" s="37"/>
      <c r="L59" s="37" t="s">
        <v>502</v>
      </c>
      <c r="M59" s="37" t="s">
        <v>503</v>
      </c>
      <c r="N59" s="37" t="s">
        <v>538</v>
      </c>
      <c r="O59" s="37" t="s">
        <v>539</v>
      </c>
      <c r="P59" s="37" t="s">
        <v>518</v>
      </c>
      <c r="Q59" s="37"/>
      <c r="R59" s="37"/>
      <c r="S59" s="37"/>
      <c r="T59" s="37"/>
      <c r="U59" s="37"/>
      <c r="V59" s="37"/>
      <c r="W59" s="37"/>
      <c r="X59" s="37" t="s">
        <v>540</v>
      </c>
      <c r="Y59" s="37">
        <f>$B$105+$E$105+$F$105</f>
        <v>0</v>
      </c>
      <c r="Z59" s="37">
        <f>$B$105+$E$105+$F$105</f>
        <v>0</v>
      </c>
      <c r="AA59" s="37">
        <f t="shared" ref="AA59:AG59" si="0">$B$105+$E$105+$F$105</f>
        <v>0</v>
      </c>
      <c r="AB59" s="37">
        <f t="shared" si="0"/>
        <v>0</v>
      </c>
      <c r="AC59" s="37">
        <f t="shared" si="0"/>
        <v>0</v>
      </c>
      <c r="AD59" s="37">
        <f t="shared" si="0"/>
        <v>0</v>
      </c>
      <c r="AE59" s="37">
        <f t="shared" si="0"/>
        <v>0</v>
      </c>
      <c r="AF59" s="37">
        <f t="shared" si="0"/>
        <v>0</v>
      </c>
      <c r="AG59" s="37">
        <f t="shared" si="0"/>
        <v>0</v>
      </c>
      <c r="AH59" s="37"/>
      <c r="AI59" s="37"/>
      <c r="AJ59" s="37"/>
      <c r="AK59" s="37"/>
      <c r="AL59" s="37"/>
      <c r="AM59" s="37"/>
      <c r="AP59" s="36"/>
      <c r="AQ59" s="36"/>
      <c r="AR59" s="36"/>
    </row>
    <row r="60" spans="1:44" x14ac:dyDescent="0.2">
      <c r="A60" s="37"/>
      <c r="B60" s="37"/>
      <c r="C60" s="37"/>
      <c r="D60" s="37"/>
      <c r="E60" s="81"/>
      <c r="F60" s="37"/>
      <c r="G60" s="37"/>
      <c r="H60" s="37"/>
      <c r="I60" s="37"/>
      <c r="J60" s="37" t="s">
        <v>516</v>
      </c>
      <c r="K60" s="37"/>
      <c r="L60" s="37" t="e">
        <f>U61+S61/(S62*Q66*S63)+Q61/(Q62*S69*Q66*Q67)+(Q63*Q64)/(Q62*S69*Q66*Q67)</f>
        <v>#DIV/0!</v>
      </c>
      <c r="M60" s="37" t="e">
        <f>U61+S61/(S62*Q66*S63)+Q61/(Q62*T69*Q66*Q67)+(Q63*Q64)/(Q62*T69*Q66*Q67)</f>
        <v>#DIV/0!</v>
      </c>
      <c r="N60" s="37" t="e">
        <f>100*(M60-L60)/$L$58</f>
        <v>#DIV/0!</v>
      </c>
      <c r="O60" s="37" t="e">
        <f>N60/SUM($N$60:$N$66)</f>
        <v>#DIV/0!</v>
      </c>
      <c r="P60" s="37" t="s">
        <v>519</v>
      </c>
      <c r="Q60" s="37"/>
      <c r="R60" s="37" t="s">
        <v>520</v>
      </c>
      <c r="S60" s="37"/>
      <c r="T60" s="37" t="s">
        <v>521</v>
      </c>
      <c r="U60" s="37"/>
      <c r="V60" s="37"/>
      <c r="W60" s="37"/>
      <c r="X60" s="37" t="s">
        <v>541</v>
      </c>
      <c r="Y60" s="37" t="e">
        <f>AVERAGE(B80:C80)</f>
        <v>#DIV/0!</v>
      </c>
      <c r="Z60" s="37" t="e">
        <f>AVERAGE(B80:C80)</f>
        <v>#DIV/0!</v>
      </c>
      <c r="AA60" s="37" t="e">
        <f>AVERAGE(B80:C80)</f>
        <v>#DIV/0!</v>
      </c>
      <c r="AB60" s="37" t="e">
        <f>AVERAGE(B80:C80)</f>
        <v>#DIV/0!</v>
      </c>
      <c r="AC60" s="37" t="e">
        <f>AVERAGE(B80:C80)</f>
        <v>#DIV/0!</v>
      </c>
      <c r="AD60" s="37" t="e">
        <f>AVERAGE(B80:C80)</f>
        <v>#DIV/0!</v>
      </c>
      <c r="AE60" s="37" t="e">
        <f>AVERAGE(B80:C80)</f>
        <v>#DIV/0!</v>
      </c>
      <c r="AF60" s="37" t="e">
        <f>AVERAGE(B80:C80)</f>
        <v>#DIV/0!</v>
      </c>
      <c r="AG60" s="37" t="e">
        <f>AVERAGE(B80:C80)</f>
        <v>#DIV/0!</v>
      </c>
      <c r="AH60" s="37"/>
      <c r="AI60" s="37"/>
      <c r="AJ60" s="37"/>
      <c r="AK60" s="37"/>
      <c r="AL60" s="37"/>
      <c r="AM60" s="37"/>
      <c r="AP60" s="36"/>
      <c r="AQ60" s="36"/>
      <c r="AR60" s="36"/>
    </row>
    <row r="61" spans="1:44" x14ac:dyDescent="0.2">
      <c r="A61" s="37"/>
      <c r="B61" s="37"/>
      <c r="C61" s="37"/>
      <c r="D61" s="37"/>
      <c r="E61" s="81"/>
      <c r="F61" s="37"/>
      <c r="G61" s="37"/>
      <c r="H61" s="37"/>
      <c r="I61" s="37"/>
      <c r="J61" s="37" t="s">
        <v>517</v>
      </c>
      <c r="K61" s="37"/>
      <c r="L61" s="37" t="e">
        <f>U61+S61/(T70*Q66*S63)+Q61/(Q62*Q65*Q66*Q67)+(Q63*Q64)/(Q62*Q65*Q66*Q67)</f>
        <v>#DIV/0!</v>
      </c>
      <c r="M61" s="37" t="e">
        <f>U61+S61/(S70*Q66*S63)+Q61/(Q62*Q65*Q66*Q67)+(Q63*Q64)/(Q62*Q65*Q66*Q67)</f>
        <v>#DIV/0!</v>
      </c>
      <c r="N61" s="37" t="e">
        <f t="shared" ref="N61:N66" si="1">100*(M61-L61)/$L$58</f>
        <v>#DIV/0!</v>
      </c>
      <c r="O61" s="37" t="e">
        <f t="shared" ref="O61:O66" si="2">N61/SUM($N$60:$N$66)</f>
        <v>#DIV/0!</v>
      </c>
      <c r="P61" s="37" t="s">
        <v>524</v>
      </c>
      <c r="Q61" s="37">
        <f>D105</f>
        <v>0</v>
      </c>
      <c r="R61" s="37" t="s">
        <v>523</v>
      </c>
      <c r="S61" s="37">
        <f>E105</f>
        <v>0</v>
      </c>
      <c r="T61" s="37" t="s">
        <v>522</v>
      </c>
      <c r="U61" s="37">
        <f>I105</f>
        <v>0</v>
      </c>
      <c r="V61" s="37"/>
      <c r="W61" s="37"/>
      <c r="X61" s="37" t="s">
        <v>542</v>
      </c>
      <c r="Y61" s="82">
        <f>$C$12</f>
        <v>0</v>
      </c>
      <c r="Z61" s="82">
        <f>$D$12</f>
        <v>0</v>
      </c>
      <c r="AA61" s="82">
        <f>$B$12</f>
        <v>0</v>
      </c>
      <c r="AB61" s="82">
        <f t="shared" ref="AB61:AG61" si="3">$C$12</f>
        <v>0</v>
      </c>
      <c r="AC61" s="82">
        <f t="shared" si="3"/>
        <v>0</v>
      </c>
      <c r="AD61" s="82">
        <f t="shared" si="3"/>
        <v>0</v>
      </c>
      <c r="AE61" s="82">
        <f t="shared" si="3"/>
        <v>0</v>
      </c>
      <c r="AF61" s="82">
        <f t="shared" si="3"/>
        <v>0</v>
      </c>
      <c r="AG61" s="82">
        <f t="shared" si="3"/>
        <v>0</v>
      </c>
      <c r="AH61" s="37"/>
      <c r="AI61" s="37"/>
      <c r="AJ61" s="37"/>
      <c r="AK61" s="37"/>
      <c r="AL61" s="37"/>
      <c r="AM61" s="37"/>
      <c r="AP61" s="36"/>
      <c r="AQ61" s="36"/>
      <c r="AR61" s="36"/>
    </row>
    <row r="62" spans="1:44" x14ac:dyDescent="0.2">
      <c r="A62" s="37"/>
      <c r="B62" s="37"/>
      <c r="C62" s="37"/>
      <c r="D62" s="37"/>
      <c r="E62" s="81"/>
      <c r="F62" s="37"/>
      <c r="G62" s="37"/>
      <c r="H62" s="37"/>
      <c r="I62" s="37"/>
      <c r="J62" s="37" t="s">
        <v>533</v>
      </c>
      <c r="K62" s="37"/>
      <c r="L62" s="37" t="e">
        <f>U61+S61/(S62*S71*S63)+Q61/(Q62*Q65*S71*Q67)+(Q63*Q64)/(Q62*Q65*S71*Q67)</f>
        <v>#DIV/0!</v>
      </c>
      <c r="M62" s="37" t="e">
        <f>U61+S61/(S62*T71*S63)+Q61/(Q62*Q65*T71*Q67)+(Q63*Q64)/(Q62*Q65*T71*Q67)</f>
        <v>#DIV/0!</v>
      </c>
      <c r="N62" s="37" t="e">
        <f t="shared" si="1"/>
        <v>#DIV/0!</v>
      </c>
      <c r="O62" s="37" t="e">
        <f t="shared" si="2"/>
        <v>#DIV/0!</v>
      </c>
      <c r="P62" s="37" t="s">
        <v>525</v>
      </c>
      <c r="Q62" s="37" t="e">
        <f>AVERAGE(B75:G75)</f>
        <v>#DIV/0!</v>
      </c>
      <c r="R62" s="37" t="s">
        <v>509</v>
      </c>
      <c r="S62" s="37" t="e">
        <f>U70</f>
        <v>#DIV/0!</v>
      </c>
      <c r="T62" s="37"/>
      <c r="U62" s="37"/>
      <c r="V62" s="37"/>
      <c r="W62" s="37"/>
      <c r="X62" s="37" t="s">
        <v>543</v>
      </c>
      <c r="Y62" s="37" t="e">
        <f>AVERAGE($B$83:$C$83)</f>
        <v>#DIV/0!</v>
      </c>
      <c r="Z62" s="37" t="e">
        <f t="shared" ref="Z62:AG62" si="4">AVERAGE($B$83:$C$83)</f>
        <v>#DIV/0!</v>
      </c>
      <c r="AA62" s="37" t="e">
        <f t="shared" si="4"/>
        <v>#DIV/0!</v>
      </c>
      <c r="AB62" s="37" t="e">
        <f t="shared" si="4"/>
        <v>#DIV/0!</v>
      </c>
      <c r="AC62" s="37" t="e">
        <f t="shared" si="4"/>
        <v>#DIV/0!</v>
      </c>
      <c r="AD62" s="37" t="e">
        <f t="shared" si="4"/>
        <v>#DIV/0!</v>
      </c>
      <c r="AE62" s="37" t="e">
        <f t="shared" si="4"/>
        <v>#DIV/0!</v>
      </c>
      <c r="AF62" s="37" t="e">
        <f t="shared" si="4"/>
        <v>#DIV/0!</v>
      </c>
      <c r="AG62" s="37" t="e">
        <f t="shared" si="4"/>
        <v>#DIV/0!</v>
      </c>
      <c r="AH62" s="37"/>
      <c r="AI62" s="37"/>
      <c r="AJ62" s="37"/>
      <c r="AK62" s="37"/>
      <c r="AL62" s="37"/>
      <c r="AM62" s="37"/>
      <c r="AP62" s="36"/>
      <c r="AQ62" s="36"/>
      <c r="AR62" s="36"/>
    </row>
    <row r="63" spans="1:44" x14ac:dyDescent="0.2">
      <c r="A63" s="37"/>
      <c r="B63" s="37"/>
      <c r="C63" s="37"/>
      <c r="D63" s="37"/>
      <c r="E63" s="81"/>
      <c r="F63" s="37"/>
      <c r="G63" s="37"/>
      <c r="H63" s="37"/>
      <c r="I63" s="37"/>
      <c r="J63" s="37" t="s">
        <v>534</v>
      </c>
      <c r="K63" s="37"/>
      <c r="L63" s="37" t="e">
        <f>U61+S61/(S62*Q66*S63)+Q61/(Q62*Q65*Q66*T72)+(Q63*Q64)/(Q62*Q65*Q66*T72)</f>
        <v>#DIV/0!</v>
      </c>
      <c r="M63" s="37" t="e">
        <f>U61+S61/(S62*Q66*S63)+Q61/(Q62*Q65*Q66*S72)+(Q63*Q64)/(Q62*Q65*Q66*S72)</f>
        <v>#DIV/0!</v>
      </c>
      <c r="N63" s="37" t="e">
        <f t="shared" si="1"/>
        <v>#DIV/0!</v>
      </c>
      <c r="O63" s="37" t="e">
        <f t="shared" si="2"/>
        <v>#DIV/0!</v>
      </c>
      <c r="P63" s="37" t="s">
        <v>526</v>
      </c>
      <c r="Q63" s="37" t="e">
        <f>AVERAGE(B71:C71)</f>
        <v>#DIV/0!</v>
      </c>
      <c r="R63" s="37" t="s">
        <v>532</v>
      </c>
      <c r="S63" s="37" t="e">
        <f>U73</f>
        <v>#DIV/0!</v>
      </c>
      <c r="T63" s="37"/>
      <c r="U63" s="37"/>
      <c r="V63" s="37"/>
      <c r="W63" s="37"/>
      <c r="X63" s="37" t="s">
        <v>544</v>
      </c>
      <c r="Y63" s="37" t="e">
        <f>$C$90</f>
        <v>#DIV/0!</v>
      </c>
      <c r="Z63" s="37" t="e">
        <f t="shared" ref="Z63:AG63" si="5">$C$90</f>
        <v>#DIV/0!</v>
      </c>
      <c r="AA63" s="37" t="e">
        <f t="shared" si="5"/>
        <v>#DIV/0!</v>
      </c>
      <c r="AB63" s="37">
        <f>$B$90</f>
        <v>0</v>
      </c>
      <c r="AC63" s="37">
        <f>$D$90</f>
        <v>0</v>
      </c>
      <c r="AD63" s="37" t="e">
        <f t="shared" si="5"/>
        <v>#DIV/0!</v>
      </c>
      <c r="AE63" s="37" t="e">
        <f t="shared" si="5"/>
        <v>#DIV/0!</v>
      </c>
      <c r="AF63" s="37" t="e">
        <f t="shared" si="5"/>
        <v>#DIV/0!</v>
      </c>
      <c r="AG63" s="37" t="e">
        <f t="shared" si="5"/>
        <v>#DIV/0!</v>
      </c>
      <c r="AH63" s="37"/>
      <c r="AI63" s="37"/>
      <c r="AJ63" s="37"/>
      <c r="AK63" s="37"/>
      <c r="AL63" s="37"/>
      <c r="AM63" s="37"/>
      <c r="AP63" s="36"/>
      <c r="AQ63" s="36"/>
      <c r="AR63" s="36"/>
    </row>
    <row r="64" spans="1:44" x14ac:dyDescent="0.2">
      <c r="A64" s="37"/>
      <c r="B64" s="37"/>
      <c r="C64" s="37"/>
      <c r="D64" s="37"/>
      <c r="E64" s="81"/>
      <c r="F64" s="37"/>
      <c r="G64" s="37"/>
      <c r="H64" s="37"/>
      <c r="I64" s="37"/>
      <c r="J64" s="37" t="s">
        <v>535</v>
      </c>
      <c r="K64" s="37"/>
      <c r="L64" s="37" t="e">
        <f>U61+S61/(S62*Q66*T73)+Q61/(Q62*Q65*Q66*Q67)+(Q63*Q64)/(Q62*Q65*Q66*Q67)</f>
        <v>#DIV/0!</v>
      </c>
      <c r="M64" s="37" t="e">
        <f>U61+S61/(S62*Q66*S73)+Q61/(Q62*Q65*Q66*Q67)+(Q63*Q64)/(Q62*Q65*Q66*Q67)</f>
        <v>#DIV/0!</v>
      </c>
      <c r="N64" s="37" t="e">
        <f t="shared" si="1"/>
        <v>#DIV/0!</v>
      </c>
      <c r="O64" s="37" t="e">
        <f t="shared" si="2"/>
        <v>#DIV/0!</v>
      </c>
      <c r="P64" s="37" t="s">
        <v>527</v>
      </c>
      <c r="Q64" s="37">
        <f>C105</f>
        <v>0</v>
      </c>
      <c r="R64" s="37"/>
      <c r="S64" s="37"/>
      <c r="T64" s="37"/>
      <c r="U64" s="37"/>
      <c r="V64" s="37"/>
      <c r="W64" s="37"/>
      <c r="X64" s="37" t="s">
        <v>545</v>
      </c>
      <c r="Y64" s="37" t="e">
        <f>AVERAGE($B$86:$C$86)</f>
        <v>#DIV/0!</v>
      </c>
      <c r="Z64" s="37" t="e">
        <f t="shared" ref="Z64:AG64" si="6">AVERAGE($B$86:$C$86)</f>
        <v>#DIV/0!</v>
      </c>
      <c r="AA64" s="37" t="e">
        <f t="shared" si="6"/>
        <v>#DIV/0!</v>
      </c>
      <c r="AB64" s="37" t="e">
        <f t="shared" si="6"/>
        <v>#DIV/0!</v>
      </c>
      <c r="AC64" s="37" t="e">
        <f t="shared" si="6"/>
        <v>#DIV/0!</v>
      </c>
      <c r="AD64" s="37" t="e">
        <f t="shared" si="6"/>
        <v>#DIV/0!</v>
      </c>
      <c r="AE64" s="37" t="e">
        <f t="shared" si="6"/>
        <v>#DIV/0!</v>
      </c>
      <c r="AF64" s="37" t="e">
        <f t="shared" si="6"/>
        <v>#DIV/0!</v>
      </c>
      <c r="AG64" s="37" t="e">
        <f t="shared" si="6"/>
        <v>#DIV/0!</v>
      </c>
      <c r="AH64" s="37"/>
      <c r="AI64" s="37"/>
      <c r="AJ64" s="37"/>
      <c r="AK64" s="37"/>
      <c r="AL64" s="37"/>
      <c r="AM64" s="37"/>
      <c r="AP64" s="36"/>
      <c r="AQ64" s="36"/>
      <c r="AR64" s="36"/>
    </row>
    <row r="65" spans="1:44" x14ac:dyDescent="0.2">
      <c r="A65" s="37"/>
      <c r="B65" s="37" t="s">
        <v>439</v>
      </c>
      <c r="C65" s="37"/>
      <c r="D65" s="37"/>
      <c r="E65" s="81"/>
      <c r="F65" s="37"/>
      <c r="G65" s="37"/>
      <c r="H65" s="37"/>
      <c r="I65" s="37"/>
      <c r="J65" s="37" t="s">
        <v>536</v>
      </c>
      <c r="K65" s="37"/>
      <c r="L65" s="37" t="e">
        <f>U61+S61/(S62*Q66*S63)+Q61/(AVERAGE(U75,T74)*Q65*Q66*Q67)+(Q63*Q64)/(AVERAGE(U75,T74)*Q65*Q66*Q67)</f>
        <v>#DIV/0!</v>
      </c>
      <c r="M65" s="37" t="e">
        <f>U61+S61/(S62*Q66*S63)+Q61/(AVERAGE(U75,S74)*Q65*Q66*Q67)+(Q63*Q64)/(AVERAGE(U75,S74)*Q65*Q66*Q67)</f>
        <v>#DIV/0!</v>
      </c>
      <c r="N65" s="37" t="e">
        <f t="shared" si="1"/>
        <v>#DIV/0!</v>
      </c>
      <c r="O65" s="37" t="e">
        <f t="shared" si="2"/>
        <v>#DIV/0!</v>
      </c>
      <c r="P65" s="37" t="s">
        <v>529</v>
      </c>
      <c r="Q65" s="37" t="e">
        <f>U69</f>
        <v>#DIV/0!</v>
      </c>
      <c r="R65" s="37"/>
      <c r="S65" s="37"/>
      <c r="T65" s="37"/>
      <c r="U65" s="37"/>
      <c r="V65" s="37"/>
      <c r="W65" s="37"/>
      <c r="X65" s="37" t="s">
        <v>546</v>
      </c>
      <c r="Y65" s="37" t="e">
        <f>Y61+((Y59*Y60-Y61)+(1-Y62)*Y59*Y60)/2</f>
        <v>#DIV/0!</v>
      </c>
      <c r="Z65" s="37" t="e">
        <f t="shared" ref="Z65:AG65" si="7">Z61+((Z59*Z60-Z61)+(1-Z62)*Z59*Z60)/2</f>
        <v>#DIV/0!</v>
      </c>
      <c r="AA65" s="37" t="e">
        <f t="shared" si="7"/>
        <v>#DIV/0!</v>
      </c>
      <c r="AB65" s="37" t="e">
        <f t="shared" si="7"/>
        <v>#DIV/0!</v>
      </c>
      <c r="AC65" s="37" t="e">
        <f t="shared" si="7"/>
        <v>#DIV/0!</v>
      </c>
      <c r="AD65" s="37" t="e">
        <f>AD61+MIN((AD59*AD60-AD61),(1-AD62)*AD59*AD60)</f>
        <v>#DIV/0!</v>
      </c>
      <c r="AE65" s="37" t="e">
        <f>AD61+MAX((AD59*AD60-AD61),(1-AD62)*AD59*AD60)</f>
        <v>#DIV/0!</v>
      </c>
      <c r="AF65" s="37" t="e">
        <f t="shared" si="7"/>
        <v>#DIV/0!</v>
      </c>
      <c r="AG65" s="37" t="e">
        <f t="shared" si="7"/>
        <v>#DIV/0!</v>
      </c>
      <c r="AH65" s="37"/>
      <c r="AI65" s="37"/>
      <c r="AJ65" s="37"/>
      <c r="AK65" s="37"/>
      <c r="AL65" s="37"/>
      <c r="AM65" s="37"/>
      <c r="AP65" s="36"/>
      <c r="AQ65" s="36"/>
      <c r="AR65" s="36"/>
    </row>
    <row r="66" spans="1:44" x14ac:dyDescent="0.2">
      <c r="A66" s="37"/>
      <c r="B66" s="37" t="s">
        <v>445</v>
      </c>
      <c r="C66" s="37" t="s">
        <v>446</v>
      </c>
      <c r="D66" s="37" t="s">
        <v>447</v>
      </c>
      <c r="E66" s="37" t="s">
        <v>448</v>
      </c>
      <c r="F66" s="37" t="s">
        <v>449</v>
      </c>
      <c r="G66" s="37" t="s">
        <v>450</v>
      </c>
      <c r="H66" s="37"/>
      <c r="I66" s="37"/>
      <c r="J66" s="37" t="s">
        <v>537</v>
      </c>
      <c r="K66" s="37"/>
      <c r="L66" s="37" t="e">
        <f>U61+S61/(S62*Q66*S63)+Q61/(AVERAGE(U74,T75)*Q65*Q66*Q67)+(Q63*Q64)/(AVERAGE(U74,T75)*Q65*Q66*Q67)</f>
        <v>#DIV/0!</v>
      </c>
      <c r="M66" s="37" t="e">
        <f>U61+S61/(S62*Q66*S63)+Q61/(AVERAGE(U74,S75)*Q65*Q66*Q67)+(Q63*Q64)/(AVERAGE(U74,S75)*Q65*Q66*Q67)</f>
        <v>#DIV/0!</v>
      </c>
      <c r="N66" s="37" t="e">
        <f t="shared" si="1"/>
        <v>#DIV/0!</v>
      </c>
      <c r="O66" s="37" t="e">
        <f t="shared" si="2"/>
        <v>#DIV/0!</v>
      </c>
      <c r="P66" s="37" t="s">
        <v>530</v>
      </c>
      <c r="Q66" s="37">
        <f>IF(T71=1,1,U71)</f>
        <v>1</v>
      </c>
      <c r="R66" s="37"/>
      <c r="S66" s="37"/>
      <c r="T66" s="37"/>
      <c r="U66" s="37"/>
      <c r="V66" s="37"/>
      <c r="W66" s="37"/>
      <c r="X66" s="37" t="s">
        <v>547</v>
      </c>
      <c r="Y66" s="82" t="e">
        <f>Y61+Y65</f>
        <v>#DIV/0!</v>
      </c>
      <c r="Z66" s="82" t="e">
        <f t="shared" ref="Z66:AG66" si="8">Z61+Z65</f>
        <v>#DIV/0!</v>
      </c>
      <c r="AA66" s="82" t="e">
        <f t="shared" si="8"/>
        <v>#DIV/0!</v>
      </c>
      <c r="AB66" s="82" t="e">
        <f t="shared" si="8"/>
        <v>#DIV/0!</v>
      </c>
      <c r="AC66" s="82" t="e">
        <f t="shared" si="8"/>
        <v>#DIV/0!</v>
      </c>
      <c r="AD66" s="82" t="e">
        <f t="shared" si="8"/>
        <v>#DIV/0!</v>
      </c>
      <c r="AE66" s="82" t="e">
        <f t="shared" si="8"/>
        <v>#DIV/0!</v>
      </c>
      <c r="AF66" s="82" t="e">
        <f t="shared" si="8"/>
        <v>#DIV/0!</v>
      </c>
      <c r="AG66" s="82" t="e">
        <f t="shared" si="8"/>
        <v>#DIV/0!</v>
      </c>
      <c r="AH66" s="37"/>
      <c r="AI66" s="37"/>
      <c r="AJ66" s="37"/>
      <c r="AK66" s="37"/>
      <c r="AL66" s="37"/>
      <c r="AM66" s="37"/>
      <c r="AP66" s="36"/>
      <c r="AQ66" s="36"/>
      <c r="AR66" s="36"/>
    </row>
    <row r="67" spans="1:44" x14ac:dyDescent="0.2">
      <c r="A67" s="37"/>
      <c r="B67" s="37">
        <f>MIN('1.2. Completeness analysis'!D11:H11)/100</f>
        <v>0</v>
      </c>
      <c r="C67" s="37" t="e">
        <f>AVERAGE('1.2. Completeness analysis'!D11:H11)/100</f>
        <v>#DIV/0!</v>
      </c>
      <c r="D67" s="37">
        <f>MAX('1.2. Completeness analysis'!D11:H11)/100</f>
        <v>0</v>
      </c>
      <c r="E67" s="81">
        <f>MIN('1.2. Completeness analysis'!D10:H10)/100</f>
        <v>0</v>
      </c>
      <c r="F67" s="37" t="e">
        <f>AVERAGE('1.2. Completeness analysis'!D10:H10)/100</f>
        <v>#DIV/0!</v>
      </c>
      <c r="G67" s="37">
        <f>MAX('1.2. Completeness analysis'!D10:H10)/100</f>
        <v>0</v>
      </c>
      <c r="H67" s="37"/>
      <c r="I67" s="37"/>
      <c r="J67" s="37"/>
      <c r="K67" s="37"/>
      <c r="L67" s="37"/>
      <c r="M67" s="37"/>
      <c r="N67" s="37"/>
      <c r="O67" s="37"/>
      <c r="P67" s="37" t="s">
        <v>531</v>
      </c>
      <c r="Q67" s="37" t="e">
        <f>U72</f>
        <v>#DIV/0!</v>
      </c>
      <c r="R67" s="37"/>
      <c r="S67" s="37"/>
      <c r="T67" s="37"/>
      <c r="U67" s="37"/>
      <c r="V67" s="37"/>
      <c r="W67" s="37"/>
      <c r="X67" s="37" t="s">
        <v>548</v>
      </c>
      <c r="Y67" s="37" t="e">
        <f>((Y59*Y63+Y59*Y64)/2)-Y66</f>
        <v>#DIV/0!</v>
      </c>
      <c r="Z67" s="37" t="e">
        <f t="shared" ref="Z67:AE67" si="9">((Z59*Z63+Z59*Z64)/2)-Z66</f>
        <v>#DIV/0!</v>
      </c>
      <c r="AA67" s="37" t="e">
        <f t="shared" si="9"/>
        <v>#DIV/0!</v>
      </c>
      <c r="AB67" s="37" t="e">
        <f t="shared" si="9"/>
        <v>#DIV/0!</v>
      </c>
      <c r="AC67" s="37" t="e">
        <f t="shared" si="9"/>
        <v>#DIV/0!</v>
      </c>
      <c r="AD67" s="37" t="e">
        <f t="shared" si="9"/>
        <v>#DIV/0!</v>
      </c>
      <c r="AE67" s="37" t="e">
        <f t="shared" si="9"/>
        <v>#DIV/0!</v>
      </c>
      <c r="AF67" s="82" t="e">
        <f>(MIN(AF59*AF63,AF59*AF64))-AF66</f>
        <v>#DIV/0!</v>
      </c>
      <c r="AG67" s="82" t="e">
        <f>(MAX(AF59*AF63,AF59*AF64))-AF66</f>
        <v>#DIV/0!</v>
      </c>
      <c r="AH67" s="37"/>
      <c r="AI67" s="37"/>
      <c r="AJ67" s="37"/>
      <c r="AK67" s="37"/>
      <c r="AL67" s="37"/>
      <c r="AM67" s="37"/>
      <c r="AP67" s="36"/>
      <c r="AQ67" s="36"/>
      <c r="AR67" s="36"/>
    </row>
    <row r="68" spans="1:44" x14ac:dyDescent="0.2">
      <c r="A68" s="37"/>
      <c r="B68" s="37"/>
      <c r="C68" s="37"/>
      <c r="D68" s="37"/>
      <c r="E68" s="81"/>
      <c r="F68" s="37"/>
      <c r="G68" s="37"/>
      <c r="H68" s="37"/>
      <c r="I68" s="37"/>
      <c r="J68" s="37"/>
      <c r="K68" s="37"/>
      <c r="L68" s="37"/>
      <c r="M68" s="37"/>
      <c r="N68" s="37" t="s">
        <v>515</v>
      </c>
      <c r="O68" s="37"/>
      <c r="P68" s="37"/>
      <c r="Q68" s="37"/>
      <c r="R68" s="37"/>
      <c r="S68" s="37" t="s">
        <v>502</v>
      </c>
      <c r="T68" s="37" t="s">
        <v>503</v>
      </c>
      <c r="U68" s="37" t="s">
        <v>63</v>
      </c>
      <c r="V68" s="37"/>
      <c r="W68" s="37"/>
      <c r="X68" s="37" t="s">
        <v>558</v>
      </c>
      <c r="Y68" s="37" t="e">
        <f>Y65+Y67</f>
        <v>#DIV/0!</v>
      </c>
      <c r="Z68" s="37" t="e">
        <f t="shared" ref="Z68:AG68" si="10">Z65+Z67</f>
        <v>#DIV/0!</v>
      </c>
      <c r="AA68" s="37" t="e">
        <f t="shared" si="10"/>
        <v>#DIV/0!</v>
      </c>
      <c r="AB68" s="37" t="e">
        <f t="shared" si="10"/>
        <v>#DIV/0!</v>
      </c>
      <c r="AC68" s="37" t="e">
        <f t="shared" si="10"/>
        <v>#DIV/0!</v>
      </c>
      <c r="AD68" s="37" t="e">
        <f t="shared" si="10"/>
        <v>#DIV/0!</v>
      </c>
      <c r="AE68" s="37" t="e">
        <f t="shared" si="10"/>
        <v>#DIV/0!</v>
      </c>
      <c r="AF68" s="37" t="e">
        <f t="shared" si="10"/>
        <v>#DIV/0!</v>
      </c>
      <c r="AG68" s="37" t="e">
        <f t="shared" si="10"/>
        <v>#DIV/0!</v>
      </c>
      <c r="AH68" s="37"/>
      <c r="AI68" s="37"/>
      <c r="AJ68" s="37"/>
      <c r="AK68" s="37"/>
      <c r="AL68" s="37"/>
      <c r="AM68" s="37"/>
      <c r="AP68" s="36"/>
      <c r="AQ68" s="36"/>
      <c r="AR68" s="36"/>
    </row>
    <row r="69" spans="1:44" x14ac:dyDescent="0.2">
      <c r="A69" s="37"/>
      <c r="B69" s="37" t="s">
        <v>440</v>
      </c>
      <c r="C69" s="37"/>
      <c r="D69" s="37"/>
      <c r="E69" s="81"/>
      <c r="F69" s="37"/>
      <c r="G69" s="37"/>
      <c r="H69" s="37"/>
      <c r="I69" s="37"/>
      <c r="J69" s="37"/>
      <c r="K69" s="37"/>
      <c r="L69" s="37"/>
      <c r="M69" s="37" t="s">
        <v>508</v>
      </c>
      <c r="N69" s="37" t="str">
        <f>IF('1.2. Completeness analysis'!D5&gt;0,'1.2. Completeness analysis'!D5,"-")</f>
        <v>-</v>
      </c>
      <c r="O69" s="37" t="str">
        <f>IF('1.2. Completeness analysis'!E5&gt;0,'1.2. Completeness analysis'!E5,"-")</f>
        <v>-</v>
      </c>
      <c r="P69" s="37" t="str">
        <f>IF('1.2. Completeness analysis'!F5&gt;0,'1.2. Completeness analysis'!F5,"-")</f>
        <v>-</v>
      </c>
      <c r="Q69" s="37" t="str">
        <f>IF('1.2. Completeness analysis'!G5&gt;0,'1.2. Completeness analysis'!G5,"-")</f>
        <v>-</v>
      </c>
      <c r="R69" s="37" t="str">
        <f>IF('1.2. Completeness analysis'!H5&gt;0,'1.2. Completeness analysis'!H5,"-")</f>
        <v>-</v>
      </c>
      <c r="S69" s="37">
        <f>MIN(N69:R69)/100</f>
        <v>0</v>
      </c>
      <c r="T69" s="37">
        <f>MAX(N69:R69)/100</f>
        <v>0</v>
      </c>
      <c r="U69" s="37" t="e">
        <f>AVERAGE(N69:R69)/100</f>
        <v>#DIV/0!</v>
      </c>
      <c r="V69" s="37"/>
      <c r="W69" s="37"/>
      <c r="X69" s="37" t="s">
        <v>559</v>
      </c>
      <c r="Y69" s="37" t="e">
        <f>100*(Y68-Y68)</f>
        <v>#DIV/0!</v>
      </c>
      <c r="Z69" s="37" t="e">
        <f>100*(AA68-Z68)/Y68</f>
        <v>#DIV/0!</v>
      </c>
      <c r="AA69" s="37"/>
      <c r="AB69" s="37" t="e">
        <f>100*(AC68-AB68)/Y68</f>
        <v>#DIV/0!</v>
      </c>
      <c r="AC69" s="37"/>
      <c r="AD69" s="37" t="e">
        <f>100*(AE68-AD68)/Y68</f>
        <v>#DIV/0!</v>
      </c>
      <c r="AE69" s="37"/>
      <c r="AF69" s="37" t="e">
        <f>100*(AG68-AF68)/Y68</f>
        <v>#DIV/0!</v>
      </c>
      <c r="AG69" s="37"/>
      <c r="AH69" s="37"/>
      <c r="AI69" s="37"/>
      <c r="AJ69" s="37"/>
      <c r="AK69" s="37"/>
      <c r="AL69" s="37"/>
      <c r="AM69" s="37"/>
      <c r="AP69" s="36"/>
      <c r="AQ69" s="36"/>
      <c r="AR69" s="36"/>
    </row>
    <row r="70" spans="1:44" x14ac:dyDescent="0.2">
      <c r="A70" s="37"/>
      <c r="B70" s="37" t="s">
        <v>442</v>
      </c>
      <c r="C70" s="37" t="s">
        <v>441</v>
      </c>
      <c r="D70" s="37"/>
      <c r="E70" s="81"/>
      <c r="F70" s="37"/>
      <c r="G70" s="37"/>
      <c r="H70" s="37"/>
      <c r="I70" s="37"/>
      <c r="J70" s="37"/>
      <c r="K70" s="37"/>
      <c r="L70" s="37"/>
      <c r="M70" s="37" t="s">
        <v>509</v>
      </c>
      <c r="N70" s="37" t="str">
        <f>IF('1.2. Completeness analysis'!D6&gt;0,'1.2. Completeness analysis'!D6,"-")</f>
        <v>-</v>
      </c>
      <c r="O70" s="37" t="str">
        <f>IF('1.2. Completeness analysis'!E6&gt;0,'1.2. Completeness analysis'!E6,"-")</f>
        <v>-</v>
      </c>
      <c r="P70" s="37" t="str">
        <f>IF('1.2. Completeness analysis'!F6&gt;0,'1.2. Completeness analysis'!F6,"-")</f>
        <v>-</v>
      </c>
      <c r="Q70" s="37" t="str">
        <f>IF('1.2. Completeness analysis'!G6&gt;0,'1.2. Completeness analysis'!G6,"-")</f>
        <v>-</v>
      </c>
      <c r="R70" s="37" t="str">
        <f>IF('1.2. Completeness analysis'!H6&gt;0,'1.2. Completeness analysis'!H6,"-")</f>
        <v>-</v>
      </c>
      <c r="S70" s="37">
        <f t="shared" ref="S70:S73" si="11">MIN(N70:R70)/100</f>
        <v>0</v>
      </c>
      <c r="T70" s="37">
        <f t="shared" ref="T70:T73" si="12">MAX(N70:R70)/100</f>
        <v>0</v>
      </c>
      <c r="U70" s="37" t="e">
        <f t="shared" ref="U70:U73" si="13">AVERAGE(N70:R70)/100</f>
        <v>#DIV/0!</v>
      </c>
      <c r="V70" s="37"/>
      <c r="W70" s="37"/>
      <c r="X70" s="37" t="s">
        <v>560</v>
      </c>
      <c r="Y70" s="37"/>
      <c r="Z70" s="37" t="e">
        <f>Z69/SUM(Z69:AG69)</f>
        <v>#DIV/0!</v>
      </c>
      <c r="AA70" s="37"/>
      <c r="AB70" s="37" t="e">
        <f t="shared" ref="AB70:AF70" si="14">AB69/SUM(AB69:AI69)</f>
        <v>#DIV/0!</v>
      </c>
      <c r="AC70" s="37"/>
      <c r="AD70" s="37" t="e">
        <f t="shared" si="14"/>
        <v>#DIV/0!</v>
      </c>
      <c r="AE70" s="37"/>
      <c r="AF70" s="37" t="e">
        <f t="shared" si="14"/>
        <v>#DIV/0!</v>
      </c>
      <c r="AG70" s="37"/>
      <c r="AH70" s="37"/>
      <c r="AI70" s="37"/>
      <c r="AJ70" s="37"/>
      <c r="AK70" s="37"/>
      <c r="AL70" s="37"/>
      <c r="AM70" s="37"/>
      <c r="AP70" s="36"/>
      <c r="AQ70" s="36"/>
      <c r="AR70" s="36"/>
    </row>
    <row r="71" spans="1:44" x14ac:dyDescent="0.2">
      <c r="A71" s="37"/>
      <c r="B71" s="37" t="str">
        <f>'1.3. Over-diagnosis analysis'!F5</f>
        <v>-</v>
      </c>
      <c r="C71" s="37" t="str">
        <f>'1.3. Over-diagnosis analysis'!F6</f>
        <v>-</v>
      </c>
      <c r="D71" s="37"/>
      <c r="E71" s="81"/>
      <c r="F71" s="37"/>
      <c r="G71" s="37"/>
      <c r="H71" s="37"/>
      <c r="I71" s="37"/>
      <c r="J71" s="37"/>
      <c r="K71" s="37"/>
      <c r="L71" s="37"/>
      <c r="M71" s="37" t="s">
        <v>510</v>
      </c>
      <c r="N71" s="37" t="str">
        <f>IF('1.2. Completeness analysis'!D7&gt;0,'1.2. Completeness analysis'!D7,"-")</f>
        <v>-</v>
      </c>
      <c r="O71" s="37" t="str">
        <f>IF('1.2. Completeness analysis'!E7&gt;0,'1.2. Completeness analysis'!E7,"-")</f>
        <v>-</v>
      </c>
      <c r="P71" s="37" t="str">
        <f>IF('1.2. Completeness analysis'!F7&gt;0,'1.2. Completeness analysis'!F7,"-")</f>
        <v>-</v>
      </c>
      <c r="Q71" s="37" t="str">
        <f>IF('1.2. Completeness analysis'!G7&gt;0,'1.2. Completeness analysis'!G7,"-")</f>
        <v>-</v>
      </c>
      <c r="R71" s="37" t="str">
        <f>IF('1.2. Completeness analysis'!H7&gt;0,'1.2. Completeness analysis'!H7,"-")</f>
        <v>-</v>
      </c>
      <c r="S71" s="37">
        <f>IF(SUM(N71:R71)=0,1,MIN(N71:R71)/100)</f>
        <v>1</v>
      </c>
      <c r="T71" s="37">
        <f>IF(SUM(N71:R71)=0,1,MAX(N71:R71)/100)</f>
        <v>1</v>
      </c>
      <c r="U71" s="37" t="e">
        <f t="shared" si="13"/>
        <v>#DIV/0!</v>
      </c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P71" s="36"/>
      <c r="AQ71" s="36"/>
      <c r="AR71" s="36"/>
    </row>
    <row r="72" spans="1:44" x14ac:dyDescent="0.2">
      <c r="A72" s="37"/>
      <c r="B72" s="37"/>
      <c r="C72" s="37"/>
      <c r="D72" s="37"/>
      <c r="E72" s="81"/>
      <c r="F72" s="37"/>
      <c r="G72" s="37"/>
      <c r="H72" s="37"/>
      <c r="I72" s="37"/>
      <c r="J72" s="37"/>
      <c r="K72" s="37"/>
      <c r="L72" s="37"/>
      <c r="M72" s="37" t="s">
        <v>511</v>
      </c>
      <c r="N72" s="37" t="str">
        <f>IF('1.2. Completeness analysis'!D8&gt;0,'1.2. Completeness analysis'!D8,"-")</f>
        <v>-</v>
      </c>
      <c r="O72" s="37" t="str">
        <f>IF('1.2. Completeness analysis'!E8&gt;0,'1.2. Completeness analysis'!E8,"-")</f>
        <v>-</v>
      </c>
      <c r="P72" s="37" t="str">
        <f>IF('1.2. Completeness analysis'!F8&gt;0,'1.2. Completeness analysis'!F8,"-")</f>
        <v>-</v>
      </c>
      <c r="Q72" s="37" t="str">
        <f>IF('1.2. Completeness analysis'!G8&gt;0,'1.2. Completeness analysis'!G8,"-")</f>
        <v>-</v>
      </c>
      <c r="R72" s="37" t="str">
        <f>IF('1.2. Completeness analysis'!H8&gt;0,'1.2. Completeness analysis'!H8,"-")</f>
        <v>-</v>
      </c>
      <c r="S72" s="37">
        <f t="shared" si="11"/>
        <v>0</v>
      </c>
      <c r="T72" s="37">
        <f t="shared" si="12"/>
        <v>0</v>
      </c>
      <c r="U72" s="37" t="e">
        <f t="shared" si="13"/>
        <v>#DIV/0!</v>
      </c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P72" s="36"/>
      <c r="AQ72" s="36"/>
      <c r="AR72" s="36"/>
    </row>
    <row r="73" spans="1:44" x14ac:dyDescent="0.2">
      <c r="A73" s="37"/>
      <c r="B73" s="37" t="s">
        <v>443</v>
      </c>
      <c r="C73" s="37"/>
      <c r="D73" s="37"/>
      <c r="E73" s="81"/>
      <c r="F73" s="37"/>
      <c r="G73" s="37"/>
      <c r="H73" s="37"/>
      <c r="I73" s="37"/>
      <c r="J73" s="37"/>
      <c r="K73" s="37"/>
      <c r="L73" s="37"/>
      <c r="M73" s="37" t="s">
        <v>512</v>
      </c>
      <c r="N73" s="37" t="str">
        <f>IF('1.2. Completeness analysis'!D9&gt;0,'1.2. Completeness analysis'!D9,"-")</f>
        <v>-</v>
      </c>
      <c r="O73" s="37" t="str">
        <f>IF('1.2. Completeness analysis'!E9&gt;0,'1.2. Completeness analysis'!E9,"-")</f>
        <v>-</v>
      </c>
      <c r="P73" s="37" t="str">
        <f>IF('1.2. Completeness analysis'!F9&gt;0,'1.2. Completeness analysis'!F9,"-")</f>
        <v>-</v>
      </c>
      <c r="Q73" s="37" t="str">
        <f>IF('1.2. Completeness analysis'!G9&gt;0,'1.2. Completeness analysis'!G9,"-")</f>
        <v>-</v>
      </c>
      <c r="R73" s="37" t="str">
        <f>IF('1.2. Completeness analysis'!H9&gt;0,'1.2. Completeness analysis'!H9,"-")</f>
        <v>-</v>
      </c>
      <c r="S73" s="37">
        <f t="shared" si="11"/>
        <v>0</v>
      </c>
      <c r="T73" s="37">
        <f t="shared" si="12"/>
        <v>0</v>
      </c>
      <c r="U73" s="37" t="e">
        <f t="shared" si="13"/>
        <v>#DIV/0!</v>
      </c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P73" s="36"/>
      <c r="AQ73" s="36"/>
      <c r="AR73" s="36"/>
    </row>
    <row r="74" spans="1:44" x14ac:dyDescent="0.2">
      <c r="A74" s="37"/>
      <c r="B74" s="37" t="s">
        <v>444</v>
      </c>
      <c r="C74" s="37" t="s">
        <v>451</v>
      </c>
      <c r="D74" s="37" t="s">
        <v>452</v>
      </c>
      <c r="E74" s="37" t="s">
        <v>453</v>
      </c>
      <c r="F74" s="37" t="s">
        <v>454</v>
      </c>
      <c r="G74" s="37" t="s">
        <v>455</v>
      </c>
      <c r="H74" s="37"/>
      <c r="I74" s="37"/>
      <c r="J74" s="37"/>
      <c r="K74" s="37"/>
      <c r="L74" s="37"/>
      <c r="M74" s="37" t="s">
        <v>513</v>
      </c>
      <c r="N74" s="37" t="str">
        <f>IF('1.4. Under-diagnosis analysis'!E6&gt;0,'1.4. Under-diagnosis analysis'!E6,"-")</f>
        <v>-</v>
      </c>
      <c r="O74" s="37" t="str">
        <f>IF('1.4. Under-diagnosis analysis'!H6&gt;0,'1.4. Under-diagnosis analysis'!H6,"-")</f>
        <v>-</v>
      </c>
      <c r="P74" s="37" t="str">
        <f>IF('1.4. Under-diagnosis analysis'!K6&gt;0,'1.4. Under-diagnosis analysis'!K6,"-")</f>
        <v>-</v>
      </c>
      <c r="Q74" s="37"/>
      <c r="R74" s="37"/>
      <c r="S74" s="37">
        <f t="shared" ref="S74:S75" si="15">MIN(N74:R74)</f>
        <v>0</v>
      </c>
      <c r="T74" s="37">
        <f t="shared" ref="T74:T75" si="16">MAX(N74:R74)</f>
        <v>0</v>
      </c>
      <c r="U74" s="37" t="e">
        <f t="shared" ref="U74:U75" si="17">AVERAGE(N74:R74)</f>
        <v>#DIV/0!</v>
      </c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P74" s="36"/>
      <c r="AQ74" s="36"/>
      <c r="AR74" s="36"/>
    </row>
    <row r="75" spans="1:44" x14ac:dyDescent="0.2">
      <c r="A75" s="37"/>
      <c r="B75" s="37">
        <f>MIN('1.4. Under-diagnosis analysis'!E6,'1.4. Under-diagnosis analysis'!H6,'1.4. Under-diagnosis analysis'!K6)</f>
        <v>0</v>
      </c>
      <c r="C75" s="37" t="e">
        <f>AVERAGE('1.4. Under-diagnosis analysis'!E6,'1.4. Under-diagnosis analysis'!H6,'1.4. Under-diagnosis analysis'!K6)</f>
        <v>#DIV/0!</v>
      </c>
      <c r="D75" s="37">
        <f>MAX('1.4. Under-diagnosis analysis'!E6,'1.4. Under-diagnosis analysis'!H6,'1.4. Under-diagnosis analysis'!K6)</f>
        <v>0</v>
      </c>
      <c r="E75" s="81">
        <f>MIN('1.4. Under-diagnosis analysis'!E7,'1.4. Under-diagnosis analysis'!H7,'1.4. Under-diagnosis analysis'!K7)</f>
        <v>0</v>
      </c>
      <c r="F75" s="37" t="e">
        <f>AVERAGE('1.4. Under-diagnosis analysis'!E7,'1.4. Under-diagnosis analysis'!H7,'1.4. Under-diagnosis analysis'!K7)</f>
        <v>#DIV/0!</v>
      </c>
      <c r="G75" s="37">
        <f>MAX('1.4. Under-diagnosis analysis'!E7,'1.4. Under-diagnosis analysis'!H7,'1.4. Under-diagnosis analysis'!K7)</f>
        <v>0</v>
      </c>
      <c r="H75" s="37"/>
      <c r="I75" s="37"/>
      <c r="J75" s="37"/>
      <c r="K75" s="37"/>
      <c r="L75" s="37"/>
      <c r="M75" s="37" t="s">
        <v>514</v>
      </c>
      <c r="N75" s="37" t="str">
        <f>IF('1.4. Under-diagnosis analysis'!E7&gt;0,'1.4. Under-diagnosis analysis'!E7,"-")</f>
        <v>-</v>
      </c>
      <c r="O75" s="37" t="str">
        <f>IF('1.4. Under-diagnosis analysis'!H7&gt;0,'1.4. Under-diagnosis analysis'!H7,"-")</f>
        <v>-</v>
      </c>
      <c r="P75" s="37" t="str">
        <f>IF('1.4. Under-diagnosis analysis'!K7&gt;0,'1.4. Under-diagnosis analysis'!K7,"-")</f>
        <v>-</v>
      </c>
      <c r="Q75" s="37"/>
      <c r="R75" s="37"/>
      <c r="S75" s="37">
        <f t="shared" si="15"/>
        <v>0</v>
      </c>
      <c r="T75" s="37">
        <f t="shared" si="16"/>
        <v>0</v>
      </c>
      <c r="U75" s="37" t="e">
        <f t="shared" si="17"/>
        <v>#DIV/0!</v>
      </c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P75" s="36"/>
      <c r="AQ75" s="36"/>
      <c r="AR75" s="36"/>
    </row>
    <row r="76" spans="1:44" x14ac:dyDescent="0.2">
      <c r="A76" s="37"/>
      <c r="B76" s="37"/>
      <c r="C76" s="37"/>
      <c r="D76" s="37"/>
      <c r="E76" s="81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P76" s="36"/>
      <c r="AQ76" s="36"/>
      <c r="AR76" s="36"/>
    </row>
    <row r="77" spans="1:44" x14ac:dyDescent="0.2">
      <c r="A77" s="37"/>
      <c r="B77" s="37" t="s">
        <v>456</v>
      </c>
      <c r="C77" s="37"/>
      <c r="D77" s="37"/>
      <c r="E77" s="81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P77" s="36"/>
      <c r="AQ77" s="36"/>
      <c r="AR77" s="36"/>
    </row>
    <row r="78" spans="1:44" x14ac:dyDescent="0.2">
      <c r="A78" s="37"/>
      <c r="B78" s="37" t="s">
        <v>457</v>
      </c>
      <c r="C78" s="37"/>
      <c r="D78" s="37"/>
      <c r="E78" s="81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P78" s="36"/>
      <c r="AQ78" s="36"/>
      <c r="AR78" s="36"/>
    </row>
    <row r="79" spans="1:44" x14ac:dyDescent="0.2">
      <c r="A79" s="37"/>
      <c r="B79" s="37" t="s">
        <v>458</v>
      </c>
      <c r="C79" s="37" t="s">
        <v>459</v>
      </c>
      <c r="D79" s="37"/>
      <c r="E79" s="81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P79" s="36"/>
      <c r="AQ79" s="36"/>
      <c r="AR79" s="36"/>
    </row>
    <row r="80" spans="1:44" x14ac:dyDescent="0.2">
      <c r="A80" s="37"/>
      <c r="B80" s="37" t="str">
        <f>'1.5. Febrile cohorts'!B11</f>
        <v>-</v>
      </c>
      <c r="C80" s="37" t="str">
        <f>'1.5. Febrile cohorts'!C11</f>
        <v>-</v>
      </c>
      <c r="D80" s="37"/>
      <c r="E80" s="81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P80" s="36"/>
      <c r="AQ80" s="36"/>
      <c r="AR80" s="36"/>
    </row>
    <row r="81" spans="1:44" x14ac:dyDescent="0.2">
      <c r="A81" s="37"/>
      <c r="B81" s="37" t="s">
        <v>460</v>
      </c>
      <c r="C81" s="37"/>
      <c r="D81" s="37"/>
      <c r="E81" s="81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P81" s="36"/>
      <c r="AQ81" s="36"/>
      <c r="AR81" s="36"/>
    </row>
    <row r="82" spans="1:44" x14ac:dyDescent="0.2">
      <c r="A82" s="37"/>
      <c r="B82" s="37" t="s">
        <v>458</v>
      </c>
      <c r="C82" s="37" t="s">
        <v>459</v>
      </c>
      <c r="D82" s="37"/>
      <c r="E82" s="81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P82" s="36"/>
      <c r="AQ82" s="36"/>
      <c r="AR82" s="36"/>
    </row>
    <row r="83" spans="1:44" x14ac:dyDescent="0.2">
      <c r="A83" s="37"/>
      <c r="B83" s="37" t="str">
        <f>'1.5. Febrile cohorts'!B12</f>
        <v>-</v>
      </c>
      <c r="C83" s="37" t="str">
        <f>'1.5. Febrile cohorts'!C12</f>
        <v>-</v>
      </c>
      <c r="D83" s="37"/>
      <c r="E83" s="81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P83" s="36"/>
      <c r="AQ83" s="36"/>
      <c r="AR83" s="36"/>
    </row>
    <row r="84" spans="1:44" x14ac:dyDescent="0.2">
      <c r="A84" s="37"/>
      <c r="B84" s="37" t="s">
        <v>493</v>
      </c>
      <c r="C84" s="37"/>
      <c r="D84" s="37"/>
      <c r="E84" s="81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P84" s="36"/>
      <c r="AQ84" s="36"/>
      <c r="AR84" s="36"/>
    </row>
    <row r="85" spans="1:44" x14ac:dyDescent="0.2">
      <c r="A85" s="37"/>
      <c r="B85" s="37" t="s">
        <v>458</v>
      </c>
      <c r="C85" s="37" t="s">
        <v>459</v>
      </c>
      <c r="D85" s="37"/>
      <c r="E85" s="81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P85" s="36"/>
      <c r="AQ85" s="36"/>
      <c r="AR85" s="36"/>
    </row>
    <row r="86" spans="1:44" x14ac:dyDescent="0.2">
      <c r="A86" s="37"/>
      <c r="B86" s="37" t="str">
        <f>'1.5. Febrile cohorts'!B16</f>
        <v>-</v>
      </c>
      <c r="C86" s="37" t="str">
        <f>'1.5. Febrile cohorts'!C16</f>
        <v>-</v>
      </c>
      <c r="D86" s="37"/>
      <c r="E86" s="81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P86" s="36"/>
      <c r="AQ86" s="36"/>
      <c r="AR86" s="36"/>
    </row>
    <row r="87" spans="1:44" x14ac:dyDescent="0.2">
      <c r="A87" s="37"/>
      <c r="B87" s="37"/>
      <c r="C87" s="37"/>
      <c r="D87" s="37"/>
      <c r="E87" s="81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P87" s="36"/>
      <c r="AQ87" s="36"/>
      <c r="AR87" s="36"/>
    </row>
    <row r="88" spans="1:44" x14ac:dyDescent="0.2">
      <c r="A88" s="37"/>
      <c r="B88" s="37" t="s">
        <v>494</v>
      </c>
      <c r="C88" s="37"/>
      <c r="D88" s="37"/>
      <c r="E88" s="81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P88" s="36"/>
      <c r="AQ88" s="36"/>
      <c r="AR88" s="36"/>
    </row>
    <row r="89" spans="1:44" x14ac:dyDescent="0.2">
      <c r="A89" s="37"/>
      <c r="B89" s="37" t="s">
        <v>462</v>
      </c>
      <c r="C89" s="37" t="s">
        <v>463</v>
      </c>
      <c r="D89" s="37" t="s">
        <v>464</v>
      </c>
      <c r="E89" s="81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P89" s="36"/>
      <c r="AQ89" s="36"/>
      <c r="AR89" s="36"/>
    </row>
    <row r="90" spans="1:44" x14ac:dyDescent="0.2">
      <c r="A90" s="37"/>
      <c r="B90" s="37">
        <f>MIN('1.6. Seroprevalence surveys'!C8:G8)</f>
        <v>0</v>
      </c>
      <c r="C90" s="37" t="e">
        <f>AVERAGE('1.6. Seroprevalence surveys'!C8:G8)</f>
        <v>#DIV/0!</v>
      </c>
      <c r="D90" s="37">
        <f>MAX('1.6. Seroprevalence surveys'!C8:G8)</f>
        <v>0</v>
      </c>
      <c r="E90" s="81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P90" s="36"/>
      <c r="AQ90" s="36"/>
      <c r="AR90" s="36"/>
    </row>
    <row r="91" spans="1:44" x14ac:dyDescent="0.2">
      <c r="A91" s="37"/>
      <c r="B91" s="37"/>
      <c r="C91" s="37"/>
      <c r="D91" s="37"/>
      <c r="E91" s="81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P91" s="36"/>
      <c r="AQ91" s="36"/>
      <c r="AR91" s="36"/>
    </row>
    <row r="92" spans="1:44" x14ac:dyDescent="0.2">
      <c r="A92" s="37"/>
      <c r="B92" s="37"/>
      <c r="C92" s="37"/>
      <c r="D92" s="37"/>
      <c r="E92" s="81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P92" s="36"/>
      <c r="AQ92" s="36"/>
      <c r="AR92" s="36"/>
    </row>
    <row r="93" spans="1:44" x14ac:dyDescent="0.2">
      <c r="A93" s="83" t="s">
        <v>0</v>
      </c>
      <c r="B93" s="84" t="s">
        <v>108</v>
      </c>
      <c r="C93" s="84" t="s">
        <v>472</v>
      </c>
      <c r="D93" s="84" t="s">
        <v>473</v>
      </c>
      <c r="E93" s="84" t="s">
        <v>107</v>
      </c>
      <c r="F93" s="84" t="s">
        <v>109</v>
      </c>
      <c r="G93" s="81" t="s">
        <v>476</v>
      </c>
      <c r="H93" s="84"/>
      <c r="I93" s="81" t="s">
        <v>465</v>
      </c>
      <c r="J93" s="81" t="s">
        <v>466</v>
      </c>
      <c r="K93" s="81" t="s">
        <v>467</v>
      </c>
      <c r="L93" s="81" t="s">
        <v>468</v>
      </c>
      <c r="M93" s="81" t="s">
        <v>469</v>
      </c>
      <c r="N93" s="81" t="s">
        <v>470</v>
      </c>
      <c r="O93" s="81" t="s">
        <v>471</v>
      </c>
      <c r="P93" s="81" t="s">
        <v>477</v>
      </c>
      <c r="Q93" s="81" t="s">
        <v>478</v>
      </c>
      <c r="R93" s="81" t="s">
        <v>479</v>
      </c>
      <c r="S93" s="81" t="s">
        <v>480</v>
      </c>
      <c r="T93" s="81" t="s">
        <v>481</v>
      </c>
      <c r="U93" s="81" t="s">
        <v>482</v>
      </c>
      <c r="V93" s="81" t="s">
        <v>483</v>
      </c>
      <c r="W93" s="81" t="s">
        <v>484</v>
      </c>
      <c r="X93" s="81" t="s">
        <v>485</v>
      </c>
      <c r="Y93" s="81" t="s">
        <v>486</v>
      </c>
      <c r="Z93" s="81" t="s">
        <v>487</v>
      </c>
      <c r="AA93" s="81" t="s">
        <v>488</v>
      </c>
      <c r="AB93" s="81" t="s">
        <v>489</v>
      </c>
      <c r="AC93" s="81" t="s">
        <v>490</v>
      </c>
      <c r="AD93" s="81" t="s">
        <v>491</v>
      </c>
      <c r="AE93" s="81" t="s">
        <v>492</v>
      </c>
      <c r="AF93" s="81" t="s">
        <v>495</v>
      </c>
      <c r="AG93" s="81" t="s">
        <v>496</v>
      </c>
      <c r="AH93" s="81" t="s">
        <v>497</v>
      </c>
      <c r="AI93" s="37"/>
      <c r="AJ93" s="37"/>
      <c r="AK93" s="37"/>
      <c r="AL93" s="37"/>
      <c r="AM93" s="37"/>
      <c r="AP93" s="36"/>
      <c r="AQ93" s="36"/>
      <c r="AR93" s="36"/>
    </row>
    <row r="94" spans="1:44" x14ac:dyDescent="0.2">
      <c r="A94" s="85" t="s">
        <v>3</v>
      </c>
      <c r="B94" s="84">
        <f>'1.1. Routine surveillance data'!B6</f>
        <v>0</v>
      </c>
      <c r="C94" s="84">
        <f>B94-D94</f>
        <v>0</v>
      </c>
      <c r="D94" s="84">
        <f>'1.1. Routine surveillance data'!D6</f>
        <v>0</v>
      </c>
      <c r="E94" s="84">
        <f>'1.1. Routine surveillance data'!E6</f>
        <v>0</v>
      </c>
      <c r="F94" s="84">
        <f>'1.1. Routine surveillance data'!F6</f>
        <v>0</v>
      </c>
      <c r="G94" s="84">
        <f t="shared" ref="G94:G104" si="18">SUM(B94,E94:F94)</f>
        <v>0</v>
      </c>
      <c r="H94" s="84"/>
      <c r="I94" s="81">
        <f t="shared" ref="I94:I104" si="19">F94</f>
        <v>0</v>
      </c>
      <c r="J94" s="37" t="e">
        <f t="shared" ref="J94:J104" si="20">E94/$D$67</f>
        <v>#DIV/0!</v>
      </c>
      <c r="K94" s="37" t="e">
        <f t="shared" ref="K94:K104" si="21">E94/$C$67</f>
        <v>#DIV/0!</v>
      </c>
      <c r="L94" s="37" t="e">
        <f t="shared" ref="L94:L104" si="22">E94/$B$67</f>
        <v>#DIV/0!</v>
      </c>
      <c r="M94" s="37" t="e">
        <f>(D94/($D$75*$G$67))+($B$71*C94/($D$75*$G$67))</f>
        <v>#DIV/0!</v>
      </c>
      <c r="N94" s="37" t="e">
        <f>(D94/($C$75*$F$67))+($B$71*C94/($C$75*$F$67))</f>
        <v>#DIV/0!</v>
      </c>
      <c r="O94" s="37" t="e">
        <f>(D94/($B$75*$E$67))+($B$71*C94/($B$75*$E$67))</f>
        <v>#DIV/0!</v>
      </c>
      <c r="P94" s="37" t="e">
        <f t="shared" ref="P94:P104" si="23">SUM(I94,J94,M94)</f>
        <v>#DIV/0!</v>
      </c>
      <c r="Q94" s="37" t="e">
        <f t="shared" ref="Q94:Q104" si="24">SUM(I94,K94,N94)</f>
        <v>#DIV/0!</v>
      </c>
      <c r="R94" s="37" t="e">
        <f t="shared" ref="R94:R104" si="25">SUM(I94,L94,O94)</f>
        <v>#DIV/0!</v>
      </c>
      <c r="S94" s="37" t="e">
        <f>IF(G94*$B$80-R94&lt;0,0,G94*$B$80-R94)</f>
        <v>#VALUE!</v>
      </c>
      <c r="T94" s="37" t="e">
        <f>IF(G94*$B$80-Q94&lt;0,0,G94*$B$80-Q94)</f>
        <v>#VALUE!</v>
      </c>
      <c r="U94" s="37" t="e">
        <f>IF(G94*$B$80-P94&lt;0,0,G94*$B$80-P94)</f>
        <v>#VALUE!</v>
      </c>
      <c r="V94" s="37" t="e">
        <f>G94*$B$80*(1-$B$83)</f>
        <v>#VALUE!</v>
      </c>
      <c r="W94" s="37" t="e">
        <f>MIN(V94,S94)</f>
        <v>#VALUE!</v>
      </c>
      <c r="X94" s="37" t="e">
        <f>AVERAGE(U94,W94)</f>
        <v>#VALUE!</v>
      </c>
      <c r="Y94" s="37" t="e">
        <f>MAX(U94,V94)</f>
        <v>#VALUE!</v>
      </c>
      <c r="Z94" s="37" t="e">
        <f>IF(G94*$B$90-Y94-R94&lt;0,0,G94*$B$90-Y94-R94)</f>
        <v>#VALUE!</v>
      </c>
      <c r="AA94" s="37" t="e">
        <f>IF(G94*$C$90-X94-Q94&lt;0,0,G94*$C$90-X94-Q94)</f>
        <v>#DIV/0!</v>
      </c>
      <c r="AB94" s="37" t="e">
        <f>IF(G94*$D$90-W94-P94&lt;0,0,G94*$D$90-W94-P94)</f>
        <v>#VALUE!</v>
      </c>
      <c r="AC94" s="37" t="e">
        <f>IF(G94*$B$86-Y94-R94&lt;0,0,G94*$B$86-Y94-R94)</f>
        <v>#VALUE!</v>
      </c>
      <c r="AD94" s="37" t="e">
        <f>IF(G94*$B$86-X94-Q94&lt;0,0,G94*$B$86-X94-Q94)</f>
        <v>#VALUE!</v>
      </c>
      <c r="AE94" s="37" t="e">
        <f>IF(G94*$B$86-W94-P94&lt;0,0,G94*$B$86-W94-P94)</f>
        <v>#VALUE!</v>
      </c>
      <c r="AF94" s="37" t="e">
        <f>MIN(Z94,AC94)</f>
        <v>#VALUE!</v>
      </c>
      <c r="AG94" s="37" t="e">
        <f>AVERAGE(AA94,AD94)</f>
        <v>#DIV/0!</v>
      </c>
      <c r="AH94" s="37" t="e">
        <f>MAX(AB94,AE94)</f>
        <v>#VALUE!</v>
      </c>
      <c r="AI94" s="37"/>
      <c r="AJ94" s="37"/>
      <c r="AK94" s="37"/>
      <c r="AL94" s="37"/>
      <c r="AM94" s="37"/>
      <c r="AP94" s="36"/>
      <c r="AQ94" s="36"/>
      <c r="AR94" s="36"/>
    </row>
    <row r="95" spans="1:44" x14ac:dyDescent="0.2">
      <c r="A95" s="85" t="s">
        <v>4</v>
      </c>
      <c r="B95" s="84">
        <f>'1.1. Routine surveillance data'!B7</f>
        <v>0</v>
      </c>
      <c r="C95" s="84">
        <f t="shared" ref="C95:C104" si="26">B95-D95</f>
        <v>0</v>
      </c>
      <c r="D95" s="84">
        <f>'1.1. Routine surveillance data'!D7</f>
        <v>0</v>
      </c>
      <c r="E95" s="84">
        <f>'1.1. Routine surveillance data'!E7</f>
        <v>0</v>
      </c>
      <c r="F95" s="84">
        <f>'1.1. Routine surveillance data'!F7</f>
        <v>0</v>
      </c>
      <c r="G95" s="84">
        <f t="shared" si="18"/>
        <v>0</v>
      </c>
      <c r="H95" s="84"/>
      <c r="I95" s="81">
        <f t="shared" si="19"/>
        <v>0</v>
      </c>
      <c r="J95" s="37" t="e">
        <f t="shared" si="20"/>
        <v>#DIV/0!</v>
      </c>
      <c r="K95" s="37" t="e">
        <f t="shared" si="21"/>
        <v>#DIV/0!</v>
      </c>
      <c r="L95" s="37" t="e">
        <f t="shared" si="22"/>
        <v>#DIV/0!</v>
      </c>
      <c r="M95" s="37" t="e">
        <f>(D95/($D$75*$G$67))+($B$71*C95/($D$75*$G$67))</f>
        <v>#DIV/0!</v>
      </c>
      <c r="N95" s="37" t="e">
        <f>(D95/($C$75*$F$67))+($B$71*C95/($C$75*$F$67))</f>
        <v>#DIV/0!</v>
      </c>
      <c r="O95" s="37" t="e">
        <f>(D95/($B$75*$E$67))+($B$71*C95/($B$75*$E$67))</f>
        <v>#DIV/0!</v>
      </c>
      <c r="P95" s="37" t="e">
        <f t="shared" si="23"/>
        <v>#DIV/0!</v>
      </c>
      <c r="Q95" s="37" t="e">
        <f t="shared" si="24"/>
        <v>#DIV/0!</v>
      </c>
      <c r="R95" s="37" t="e">
        <f t="shared" si="25"/>
        <v>#DIV/0!</v>
      </c>
      <c r="S95" s="37" t="e">
        <f t="shared" ref="S95:S98" si="27">IF(G95*$B$80-R95&lt;0,0,G95*$B$80-R95)</f>
        <v>#VALUE!</v>
      </c>
      <c r="T95" s="37" t="e">
        <f t="shared" ref="T95:T97" si="28">IF(G95*$B$80-Q95&lt;0,0,G95*$B$80-Q95)</f>
        <v>#VALUE!</v>
      </c>
      <c r="U95" s="37" t="e">
        <f t="shared" ref="U95:U97" si="29">IF(G95*$B$80-P95&lt;0,0,G95*$B$80-P95)</f>
        <v>#VALUE!</v>
      </c>
      <c r="V95" s="37" t="e">
        <f>G95*$B$80*(1-$B$83)</f>
        <v>#VALUE!</v>
      </c>
      <c r="W95" s="37" t="e">
        <f t="shared" ref="W95:W104" si="30">MIN(V95,S95)</f>
        <v>#VALUE!</v>
      </c>
      <c r="X95" s="37" t="e">
        <f t="shared" ref="X95:X104" si="31">AVERAGE(U95,W95)</f>
        <v>#VALUE!</v>
      </c>
      <c r="Y95" s="37" t="e">
        <f t="shared" ref="Y95:Y104" si="32">MAX(U95,V95)</f>
        <v>#VALUE!</v>
      </c>
      <c r="Z95" s="37" t="e">
        <f t="shared" ref="Z95:Z104" si="33">IF(G95*$B$90-Y95-R95&lt;0,0,G95*$B$90-Y95-R95)</f>
        <v>#VALUE!</v>
      </c>
      <c r="AA95" s="37" t="e">
        <f t="shared" ref="AA95:AA104" si="34">IF(G95*$C$90-X95-Q95&lt;0,0,G95*$C$90-X95-Q95)</f>
        <v>#DIV/0!</v>
      </c>
      <c r="AB95" s="37" t="e">
        <f t="shared" ref="AB95:AB104" si="35">IF(G95*$D$90-W95-P95&lt;0,0,G95*$D$90-W95-P95)</f>
        <v>#VALUE!</v>
      </c>
      <c r="AC95" s="37" t="e">
        <f t="shared" ref="AC95:AC97" si="36">IF(G95*$B$86-Y95-R95&lt;0,0,G95*$B$86-Y95-R95)</f>
        <v>#VALUE!</v>
      </c>
      <c r="AD95" s="37" t="e">
        <f t="shared" ref="AD95:AD97" si="37">IF(G95*$B$86-X95-Q95&lt;0,0,G95*$B$86-X95-Q95)</f>
        <v>#VALUE!</v>
      </c>
      <c r="AE95" s="37" t="e">
        <f t="shared" ref="AE95:AE97" si="38">IF(G95*$B$86-W95-P95&lt;0,0,G95*$B$86-W95-P95)</f>
        <v>#VALUE!</v>
      </c>
      <c r="AF95" s="37" t="e">
        <f t="shared" ref="AF95:AF104" si="39">MIN(Z95,AC95)</f>
        <v>#VALUE!</v>
      </c>
      <c r="AG95" s="37" t="e">
        <f t="shared" ref="AG95:AG104" si="40">AVERAGE(AA95,AD95)</f>
        <v>#DIV/0!</v>
      </c>
      <c r="AH95" s="37" t="e">
        <f t="shared" ref="AH95:AH104" si="41">MAX(AB95,AE95)</f>
        <v>#VALUE!</v>
      </c>
      <c r="AI95" s="37"/>
      <c r="AJ95" s="37"/>
      <c r="AK95" s="37"/>
      <c r="AL95" s="37"/>
      <c r="AM95" s="37"/>
      <c r="AP95" s="36"/>
      <c r="AQ95" s="36"/>
      <c r="AR95" s="36"/>
    </row>
    <row r="96" spans="1:44" x14ac:dyDescent="0.2">
      <c r="A96" s="85" t="s">
        <v>5</v>
      </c>
      <c r="B96" s="84">
        <f>'1.1. Routine surveillance data'!B8</f>
        <v>0</v>
      </c>
      <c r="C96" s="84">
        <f t="shared" si="26"/>
        <v>0</v>
      </c>
      <c r="D96" s="84">
        <f>'1.1. Routine surveillance data'!D8</f>
        <v>0</v>
      </c>
      <c r="E96" s="84">
        <f>'1.1. Routine surveillance data'!E8</f>
        <v>0</v>
      </c>
      <c r="F96" s="84">
        <f>'1.1. Routine surveillance data'!F8</f>
        <v>0</v>
      </c>
      <c r="G96" s="84">
        <f t="shared" si="18"/>
        <v>0</v>
      </c>
      <c r="H96" s="84"/>
      <c r="I96" s="81">
        <f t="shared" si="19"/>
        <v>0</v>
      </c>
      <c r="J96" s="37" t="e">
        <f t="shared" si="20"/>
        <v>#DIV/0!</v>
      </c>
      <c r="K96" s="37" t="e">
        <f t="shared" si="21"/>
        <v>#DIV/0!</v>
      </c>
      <c r="L96" s="37" t="e">
        <f t="shared" si="22"/>
        <v>#DIV/0!</v>
      </c>
      <c r="M96" s="37" t="e">
        <f>(D96/($D$75*$G$67))+($B$71*C96/($D$75*$G$67))</f>
        <v>#DIV/0!</v>
      </c>
      <c r="N96" s="37" t="e">
        <f>(D96/($C$75*$F$67))+($B$71*C96/($C$75*$F$67))</f>
        <v>#DIV/0!</v>
      </c>
      <c r="O96" s="37" t="e">
        <f>(D96/($B$75*$E$67))+($B$71*C96/($B$75*$E$67))</f>
        <v>#DIV/0!</v>
      </c>
      <c r="P96" s="37" t="e">
        <f t="shared" si="23"/>
        <v>#DIV/0!</v>
      </c>
      <c r="Q96" s="37" t="e">
        <f t="shared" si="24"/>
        <v>#DIV/0!</v>
      </c>
      <c r="R96" s="37" t="e">
        <f t="shared" si="25"/>
        <v>#DIV/0!</v>
      </c>
      <c r="S96" s="37" t="e">
        <f t="shared" si="27"/>
        <v>#VALUE!</v>
      </c>
      <c r="T96" s="37" t="e">
        <f t="shared" si="28"/>
        <v>#VALUE!</v>
      </c>
      <c r="U96" s="37" t="e">
        <f t="shared" si="29"/>
        <v>#VALUE!</v>
      </c>
      <c r="V96" s="37" t="e">
        <f>G96*$B$80*(1-$B$83)</f>
        <v>#VALUE!</v>
      </c>
      <c r="W96" s="37" t="e">
        <f t="shared" si="30"/>
        <v>#VALUE!</v>
      </c>
      <c r="X96" s="37" t="e">
        <f t="shared" si="31"/>
        <v>#VALUE!</v>
      </c>
      <c r="Y96" s="37" t="e">
        <f t="shared" si="32"/>
        <v>#VALUE!</v>
      </c>
      <c r="Z96" s="37" t="e">
        <f t="shared" si="33"/>
        <v>#VALUE!</v>
      </c>
      <c r="AA96" s="37" t="e">
        <f t="shared" si="34"/>
        <v>#DIV/0!</v>
      </c>
      <c r="AB96" s="37" t="e">
        <f t="shared" si="35"/>
        <v>#VALUE!</v>
      </c>
      <c r="AC96" s="37" t="e">
        <f t="shared" si="36"/>
        <v>#VALUE!</v>
      </c>
      <c r="AD96" s="37" t="e">
        <f t="shared" si="37"/>
        <v>#VALUE!</v>
      </c>
      <c r="AE96" s="37" t="e">
        <f t="shared" si="38"/>
        <v>#VALUE!</v>
      </c>
      <c r="AF96" s="37" t="e">
        <f t="shared" si="39"/>
        <v>#VALUE!</v>
      </c>
      <c r="AG96" s="37" t="e">
        <f t="shared" si="40"/>
        <v>#DIV/0!</v>
      </c>
      <c r="AH96" s="37" t="e">
        <f t="shared" si="41"/>
        <v>#VALUE!</v>
      </c>
      <c r="AI96" s="37"/>
      <c r="AJ96" s="37"/>
      <c r="AK96" s="37"/>
      <c r="AL96" s="37"/>
      <c r="AM96" s="37"/>
      <c r="AP96" s="36"/>
      <c r="AQ96" s="36"/>
      <c r="AR96" s="36"/>
    </row>
    <row r="97" spans="1:44" x14ac:dyDescent="0.2">
      <c r="A97" s="85" t="s">
        <v>6</v>
      </c>
      <c r="B97" s="84">
        <f>'1.1. Routine surveillance data'!B9</f>
        <v>0</v>
      </c>
      <c r="C97" s="84">
        <f t="shared" si="26"/>
        <v>0</v>
      </c>
      <c r="D97" s="84">
        <f>'1.1. Routine surveillance data'!D9</f>
        <v>0</v>
      </c>
      <c r="E97" s="84">
        <f>'1.1. Routine surveillance data'!E9</f>
        <v>0</v>
      </c>
      <c r="F97" s="84">
        <f>'1.1. Routine surveillance data'!F9</f>
        <v>0</v>
      </c>
      <c r="G97" s="84">
        <f t="shared" si="18"/>
        <v>0</v>
      </c>
      <c r="H97" s="84"/>
      <c r="I97" s="81">
        <f t="shared" si="19"/>
        <v>0</v>
      </c>
      <c r="J97" s="37" t="e">
        <f t="shared" si="20"/>
        <v>#DIV/0!</v>
      </c>
      <c r="K97" s="37" t="e">
        <f t="shared" si="21"/>
        <v>#DIV/0!</v>
      </c>
      <c r="L97" s="37" t="e">
        <f t="shared" si="22"/>
        <v>#DIV/0!</v>
      </c>
      <c r="M97" s="37" t="e">
        <f>(D97/($D$75*$G$67))+($B$71*C97/($D$75*$G$67))</f>
        <v>#DIV/0!</v>
      </c>
      <c r="N97" s="37" t="e">
        <f>(D97/($C$75*$F$67))+($B$71*C97/($C$75*$F$67))</f>
        <v>#DIV/0!</v>
      </c>
      <c r="O97" s="37" t="e">
        <f>(D97/($B$75*$E$67))+($B$71*C97/($B$75*$E$67))</f>
        <v>#DIV/0!</v>
      </c>
      <c r="P97" s="37" t="e">
        <f t="shared" si="23"/>
        <v>#DIV/0!</v>
      </c>
      <c r="Q97" s="37" t="e">
        <f t="shared" si="24"/>
        <v>#DIV/0!</v>
      </c>
      <c r="R97" s="37" t="e">
        <f t="shared" si="25"/>
        <v>#DIV/0!</v>
      </c>
      <c r="S97" s="37" t="e">
        <f t="shared" si="27"/>
        <v>#VALUE!</v>
      </c>
      <c r="T97" s="37" t="e">
        <f t="shared" si="28"/>
        <v>#VALUE!</v>
      </c>
      <c r="U97" s="37" t="e">
        <f t="shared" si="29"/>
        <v>#VALUE!</v>
      </c>
      <c r="V97" s="37" t="e">
        <f>G97*$B$80*(1-$B$83)</f>
        <v>#VALUE!</v>
      </c>
      <c r="W97" s="37" t="e">
        <f t="shared" si="30"/>
        <v>#VALUE!</v>
      </c>
      <c r="X97" s="37" t="e">
        <f t="shared" si="31"/>
        <v>#VALUE!</v>
      </c>
      <c r="Y97" s="37" t="e">
        <f t="shared" si="32"/>
        <v>#VALUE!</v>
      </c>
      <c r="Z97" s="37" t="e">
        <f t="shared" si="33"/>
        <v>#VALUE!</v>
      </c>
      <c r="AA97" s="37" t="e">
        <f t="shared" si="34"/>
        <v>#DIV/0!</v>
      </c>
      <c r="AB97" s="37" t="e">
        <f t="shared" si="35"/>
        <v>#VALUE!</v>
      </c>
      <c r="AC97" s="37" t="e">
        <f t="shared" si="36"/>
        <v>#VALUE!</v>
      </c>
      <c r="AD97" s="37" t="e">
        <f t="shared" si="37"/>
        <v>#VALUE!</v>
      </c>
      <c r="AE97" s="37" t="e">
        <f t="shared" si="38"/>
        <v>#VALUE!</v>
      </c>
      <c r="AF97" s="37" t="e">
        <f t="shared" si="39"/>
        <v>#VALUE!</v>
      </c>
      <c r="AG97" s="37" t="e">
        <f t="shared" si="40"/>
        <v>#DIV/0!</v>
      </c>
      <c r="AH97" s="37" t="e">
        <f t="shared" si="41"/>
        <v>#VALUE!</v>
      </c>
      <c r="AI97" s="37"/>
      <c r="AJ97" s="37"/>
      <c r="AK97" s="37"/>
      <c r="AL97" s="37"/>
      <c r="AM97" s="37"/>
      <c r="AP97" s="36"/>
      <c r="AQ97" s="36"/>
      <c r="AR97" s="36"/>
    </row>
    <row r="98" spans="1:44" x14ac:dyDescent="0.2">
      <c r="A98" s="85" t="s">
        <v>7</v>
      </c>
      <c r="B98" s="84">
        <f>'1.1. Routine surveillance data'!B10</f>
        <v>0</v>
      </c>
      <c r="C98" s="84">
        <f t="shared" si="26"/>
        <v>0</v>
      </c>
      <c r="D98" s="84">
        <f>'1.1. Routine surveillance data'!D10</f>
        <v>0</v>
      </c>
      <c r="E98" s="84">
        <f>'1.1. Routine surveillance data'!E10</f>
        <v>0</v>
      </c>
      <c r="F98" s="84">
        <f>'1.1. Routine surveillance data'!F10</f>
        <v>0</v>
      </c>
      <c r="G98" s="84">
        <f t="shared" si="18"/>
        <v>0</v>
      </c>
      <c r="H98" s="84"/>
      <c r="I98" s="81">
        <f t="shared" si="19"/>
        <v>0</v>
      </c>
      <c r="J98" s="37" t="e">
        <f t="shared" si="20"/>
        <v>#DIV/0!</v>
      </c>
      <c r="K98" s="37" t="e">
        <f t="shared" si="21"/>
        <v>#DIV/0!</v>
      </c>
      <c r="L98" s="37" t="e">
        <f t="shared" si="22"/>
        <v>#DIV/0!</v>
      </c>
      <c r="M98" s="37" t="e">
        <f t="shared" ref="M98:M104" si="42">(D98/($G$75*$G$67))+($C$71*C98/($G$75*$G$67))</f>
        <v>#DIV/0!</v>
      </c>
      <c r="N98" s="37" t="e">
        <f t="shared" ref="N98:N104" si="43">(D98/($F$75*$F$67))+($C$71*C98/($F$75*$F$67))</f>
        <v>#DIV/0!</v>
      </c>
      <c r="O98" s="37" t="e">
        <f t="shared" ref="O98:O104" si="44">(D98/($E$75*$E$67))+($C$71*C98/($E$75*$E$67))</f>
        <v>#DIV/0!</v>
      </c>
      <c r="P98" s="37" t="e">
        <f t="shared" si="23"/>
        <v>#DIV/0!</v>
      </c>
      <c r="Q98" s="37" t="e">
        <f t="shared" si="24"/>
        <v>#DIV/0!</v>
      </c>
      <c r="R98" s="37" t="e">
        <f t="shared" si="25"/>
        <v>#DIV/0!</v>
      </c>
      <c r="S98" s="37" t="e">
        <f>IF(G98*$C$80-R98&lt;0,0,G98*$C$80-R98)</f>
        <v>#VALUE!</v>
      </c>
      <c r="T98" s="37" t="e">
        <f>IF(G98*$C$80-Q98&lt;0,0,G98*$C$80-Q98)</f>
        <v>#VALUE!</v>
      </c>
      <c r="U98" s="37" t="e">
        <f>IF(G98*$C$80-P98&lt;0,0,G98*$C$80-P98)</f>
        <v>#VALUE!</v>
      </c>
      <c r="V98" s="37" t="e">
        <f t="shared" ref="V98:V104" si="45">G98*$C$80*(1-$C$83)</f>
        <v>#VALUE!</v>
      </c>
      <c r="W98" s="37" t="e">
        <f t="shared" si="30"/>
        <v>#VALUE!</v>
      </c>
      <c r="X98" s="37" t="e">
        <f t="shared" si="31"/>
        <v>#VALUE!</v>
      </c>
      <c r="Y98" s="37" t="e">
        <f t="shared" si="32"/>
        <v>#VALUE!</v>
      </c>
      <c r="Z98" s="37" t="e">
        <f t="shared" si="33"/>
        <v>#VALUE!</v>
      </c>
      <c r="AA98" s="37" t="e">
        <f t="shared" si="34"/>
        <v>#DIV/0!</v>
      </c>
      <c r="AB98" s="37" t="e">
        <f t="shared" si="35"/>
        <v>#VALUE!</v>
      </c>
      <c r="AC98" s="37" t="e">
        <f>IF(G98*$C$86-Y98-R98&lt;0,0,G98*$C$86-Y98-R98)</f>
        <v>#VALUE!</v>
      </c>
      <c r="AD98" s="37" t="e">
        <f>IF(G98*$C$86-X98-Q98&lt;0,0,G98*$C$86-X98-Q98)</f>
        <v>#VALUE!</v>
      </c>
      <c r="AE98" s="37" t="e">
        <f>IF(G98*$C$86-W98-P98&lt;0,0,G98*$C$86-W98-P98)</f>
        <v>#VALUE!</v>
      </c>
      <c r="AF98" s="37" t="e">
        <f t="shared" si="39"/>
        <v>#VALUE!</v>
      </c>
      <c r="AG98" s="37" t="e">
        <f t="shared" si="40"/>
        <v>#DIV/0!</v>
      </c>
      <c r="AH98" s="37" t="e">
        <f t="shared" si="41"/>
        <v>#VALUE!</v>
      </c>
      <c r="AI98" s="37"/>
      <c r="AJ98" s="37"/>
      <c r="AK98" s="37"/>
      <c r="AL98" s="37"/>
      <c r="AM98" s="37"/>
      <c r="AP98" s="36"/>
      <c r="AQ98" s="36"/>
      <c r="AR98" s="36"/>
    </row>
    <row r="99" spans="1:44" x14ac:dyDescent="0.2">
      <c r="A99" s="85" t="s">
        <v>8</v>
      </c>
      <c r="B99" s="84">
        <f>'1.1. Routine surveillance data'!B11</f>
        <v>0</v>
      </c>
      <c r="C99" s="84">
        <f t="shared" si="26"/>
        <v>0</v>
      </c>
      <c r="D99" s="84">
        <f>'1.1. Routine surveillance data'!D11</f>
        <v>0</v>
      </c>
      <c r="E99" s="84">
        <f>'1.1. Routine surveillance data'!E11</f>
        <v>0</v>
      </c>
      <c r="F99" s="84">
        <f>'1.1. Routine surveillance data'!F11</f>
        <v>0</v>
      </c>
      <c r="G99" s="84">
        <f t="shared" si="18"/>
        <v>0</v>
      </c>
      <c r="H99" s="84"/>
      <c r="I99" s="81">
        <f t="shared" si="19"/>
        <v>0</v>
      </c>
      <c r="J99" s="37" t="e">
        <f t="shared" si="20"/>
        <v>#DIV/0!</v>
      </c>
      <c r="K99" s="37" t="e">
        <f t="shared" si="21"/>
        <v>#DIV/0!</v>
      </c>
      <c r="L99" s="37" t="e">
        <f t="shared" si="22"/>
        <v>#DIV/0!</v>
      </c>
      <c r="M99" s="37" t="e">
        <f t="shared" si="42"/>
        <v>#DIV/0!</v>
      </c>
      <c r="N99" s="37" t="e">
        <f t="shared" si="43"/>
        <v>#DIV/0!</v>
      </c>
      <c r="O99" s="37" t="e">
        <f t="shared" si="44"/>
        <v>#DIV/0!</v>
      </c>
      <c r="P99" s="37" t="e">
        <f t="shared" si="23"/>
        <v>#DIV/0!</v>
      </c>
      <c r="Q99" s="37" t="e">
        <f t="shared" si="24"/>
        <v>#DIV/0!</v>
      </c>
      <c r="R99" s="37" t="e">
        <f t="shared" si="25"/>
        <v>#DIV/0!</v>
      </c>
      <c r="S99" s="37" t="e">
        <f t="shared" ref="S99:S105" si="46">IF(G99*$C$80-R99&lt;0,0,G99*$C$80-R99)</f>
        <v>#VALUE!</v>
      </c>
      <c r="T99" s="37" t="e">
        <f t="shared" ref="T99:T104" si="47">IF(G99*$C$80-Q99&lt;0,0,G99*$C$80-Q99)</f>
        <v>#VALUE!</v>
      </c>
      <c r="U99" s="37" t="e">
        <f t="shared" ref="U99:U104" si="48">IF(G99*$C$80-P99&lt;0,0,G99*$C$80-P99)</f>
        <v>#VALUE!</v>
      </c>
      <c r="V99" s="37" t="e">
        <f t="shared" si="45"/>
        <v>#VALUE!</v>
      </c>
      <c r="W99" s="37" t="e">
        <f t="shared" si="30"/>
        <v>#VALUE!</v>
      </c>
      <c r="X99" s="37" t="e">
        <f t="shared" si="31"/>
        <v>#VALUE!</v>
      </c>
      <c r="Y99" s="37" t="e">
        <f t="shared" si="32"/>
        <v>#VALUE!</v>
      </c>
      <c r="Z99" s="37" t="e">
        <f t="shared" si="33"/>
        <v>#VALUE!</v>
      </c>
      <c r="AA99" s="37" t="e">
        <f t="shared" si="34"/>
        <v>#DIV/0!</v>
      </c>
      <c r="AB99" s="37" t="e">
        <f t="shared" si="35"/>
        <v>#VALUE!</v>
      </c>
      <c r="AC99" s="37" t="e">
        <f t="shared" ref="AC99:AC104" si="49">IF(G99*$C$86-Y99-R99&lt;0,0,G99*$C$86-Y99-R99)</f>
        <v>#VALUE!</v>
      </c>
      <c r="AD99" s="37" t="e">
        <f t="shared" ref="AD99:AD104" si="50">IF(G99*$C$86-X99-Q99&lt;0,0,G99*$C$86-X99-Q99)</f>
        <v>#VALUE!</v>
      </c>
      <c r="AE99" s="37" t="e">
        <f t="shared" ref="AE99:AE104" si="51">IF(G99*$C$86-W99-P99&lt;0,0,G99*$C$86-W99-P99)</f>
        <v>#VALUE!</v>
      </c>
      <c r="AF99" s="37" t="e">
        <f t="shared" si="39"/>
        <v>#VALUE!</v>
      </c>
      <c r="AG99" s="37" t="e">
        <f t="shared" si="40"/>
        <v>#DIV/0!</v>
      </c>
      <c r="AH99" s="37" t="e">
        <f t="shared" si="41"/>
        <v>#VALUE!</v>
      </c>
      <c r="AI99" s="37"/>
      <c r="AJ99" s="37"/>
      <c r="AK99" s="37"/>
      <c r="AL99" s="37"/>
      <c r="AM99" s="37"/>
      <c r="AP99" s="36"/>
      <c r="AQ99" s="36"/>
      <c r="AR99" s="36"/>
    </row>
    <row r="100" spans="1:44" x14ac:dyDescent="0.2">
      <c r="A100" s="85" t="s">
        <v>9</v>
      </c>
      <c r="B100" s="84">
        <f>'1.1. Routine surveillance data'!B12</f>
        <v>0</v>
      </c>
      <c r="C100" s="84">
        <f t="shared" si="26"/>
        <v>0</v>
      </c>
      <c r="D100" s="84">
        <f>'1.1. Routine surveillance data'!D12</f>
        <v>0</v>
      </c>
      <c r="E100" s="84">
        <f>'1.1. Routine surveillance data'!E12</f>
        <v>0</v>
      </c>
      <c r="F100" s="84">
        <f>'1.1. Routine surveillance data'!F12</f>
        <v>0</v>
      </c>
      <c r="G100" s="84">
        <f t="shared" si="18"/>
        <v>0</v>
      </c>
      <c r="H100" s="84"/>
      <c r="I100" s="81">
        <f t="shared" si="19"/>
        <v>0</v>
      </c>
      <c r="J100" s="37" t="e">
        <f t="shared" si="20"/>
        <v>#DIV/0!</v>
      </c>
      <c r="K100" s="37" t="e">
        <f t="shared" si="21"/>
        <v>#DIV/0!</v>
      </c>
      <c r="L100" s="37" t="e">
        <f t="shared" si="22"/>
        <v>#DIV/0!</v>
      </c>
      <c r="M100" s="37" t="e">
        <f t="shared" si="42"/>
        <v>#DIV/0!</v>
      </c>
      <c r="N100" s="37" t="e">
        <f t="shared" si="43"/>
        <v>#DIV/0!</v>
      </c>
      <c r="O100" s="37" t="e">
        <f t="shared" si="44"/>
        <v>#DIV/0!</v>
      </c>
      <c r="P100" s="37" t="e">
        <f t="shared" si="23"/>
        <v>#DIV/0!</v>
      </c>
      <c r="Q100" s="37" t="e">
        <f t="shared" si="24"/>
        <v>#DIV/0!</v>
      </c>
      <c r="R100" s="37" t="e">
        <f t="shared" si="25"/>
        <v>#DIV/0!</v>
      </c>
      <c r="S100" s="37" t="e">
        <f t="shared" si="46"/>
        <v>#VALUE!</v>
      </c>
      <c r="T100" s="37" t="e">
        <f t="shared" si="47"/>
        <v>#VALUE!</v>
      </c>
      <c r="U100" s="37" t="e">
        <f t="shared" si="48"/>
        <v>#VALUE!</v>
      </c>
      <c r="V100" s="37" t="e">
        <f t="shared" si="45"/>
        <v>#VALUE!</v>
      </c>
      <c r="W100" s="37" t="e">
        <f t="shared" si="30"/>
        <v>#VALUE!</v>
      </c>
      <c r="X100" s="37" t="e">
        <f t="shared" si="31"/>
        <v>#VALUE!</v>
      </c>
      <c r="Y100" s="37" t="e">
        <f t="shared" si="32"/>
        <v>#VALUE!</v>
      </c>
      <c r="Z100" s="37" t="e">
        <f t="shared" si="33"/>
        <v>#VALUE!</v>
      </c>
      <c r="AA100" s="37" t="e">
        <f t="shared" si="34"/>
        <v>#DIV/0!</v>
      </c>
      <c r="AB100" s="37" t="e">
        <f t="shared" si="35"/>
        <v>#VALUE!</v>
      </c>
      <c r="AC100" s="37" t="e">
        <f t="shared" si="49"/>
        <v>#VALUE!</v>
      </c>
      <c r="AD100" s="37" t="e">
        <f t="shared" si="50"/>
        <v>#VALUE!</v>
      </c>
      <c r="AE100" s="37" t="e">
        <f t="shared" si="51"/>
        <v>#VALUE!</v>
      </c>
      <c r="AF100" s="37" t="e">
        <f t="shared" si="39"/>
        <v>#VALUE!</v>
      </c>
      <c r="AG100" s="37" t="e">
        <f t="shared" si="40"/>
        <v>#DIV/0!</v>
      </c>
      <c r="AH100" s="37" t="e">
        <f t="shared" si="41"/>
        <v>#VALUE!</v>
      </c>
      <c r="AI100" s="37"/>
      <c r="AJ100" s="37"/>
      <c r="AK100" s="37"/>
      <c r="AL100" s="37"/>
      <c r="AM100" s="37"/>
      <c r="AP100" s="36"/>
      <c r="AQ100" s="36"/>
      <c r="AR100" s="36"/>
    </row>
    <row r="101" spans="1:44" x14ac:dyDescent="0.2">
      <c r="A101" s="85" t="s">
        <v>10</v>
      </c>
      <c r="B101" s="84">
        <f>'1.1. Routine surveillance data'!B13</f>
        <v>0</v>
      </c>
      <c r="C101" s="84">
        <f t="shared" si="26"/>
        <v>0</v>
      </c>
      <c r="D101" s="84">
        <f>'1.1. Routine surveillance data'!D13</f>
        <v>0</v>
      </c>
      <c r="E101" s="84">
        <f>'1.1. Routine surveillance data'!E13</f>
        <v>0</v>
      </c>
      <c r="F101" s="84">
        <f>'1.1. Routine surveillance data'!F13</f>
        <v>0</v>
      </c>
      <c r="G101" s="84">
        <f t="shared" si="18"/>
        <v>0</v>
      </c>
      <c r="H101" s="84"/>
      <c r="I101" s="81">
        <f t="shared" si="19"/>
        <v>0</v>
      </c>
      <c r="J101" s="37" t="e">
        <f t="shared" si="20"/>
        <v>#DIV/0!</v>
      </c>
      <c r="K101" s="37" t="e">
        <f t="shared" si="21"/>
        <v>#DIV/0!</v>
      </c>
      <c r="L101" s="37" t="e">
        <f t="shared" si="22"/>
        <v>#DIV/0!</v>
      </c>
      <c r="M101" s="37" t="e">
        <f t="shared" si="42"/>
        <v>#DIV/0!</v>
      </c>
      <c r="N101" s="37" t="e">
        <f t="shared" si="43"/>
        <v>#DIV/0!</v>
      </c>
      <c r="O101" s="37" t="e">
        <f t="shared" si="44"/>
        <v>#DIV/0!</v>
      </c>
      <c r="P101" s="37" t="e">
        <f t="shared" si="23"/>
        <v>#DIV/0!</v>
      </c>
      <c r="Q101" s="37" t="e">
        <f t="shared" si="24"/>
        <v>#DIV/0!</v>
      </c>
      <c r="R101" s="37" t="e">
        <f t="shared" si="25"/>
        <v>#DIV/0!</v>
      </c>
      <c r="S101" s="37" t="e">
        <f t="shared" si="46"/>
        <v>#VALUE!</v>
      </c>
      <c r="T101" s="37" t="e">
        <f t="shared" si="47"/>
        <v>#VALUE!</v>
      </c>
      <c r="U101" s="37" t="e">
        <f t="shared" si="48"/>
        <v>#VALUE!</v>
      </c>
      <c r="V101" s="37" t="e">
        <f t="shared" si="45"/>
        <v>#VALUE!</v>
      </c>
      <c r="W101" s="37" t="e">
        <f t="shared" si="30"/>
        <v>#VALUE!</v>
      </c>
      <c r="X101" s="37" t="e">
        <f t="shared" si="31"/>
        <v>#VALUE!</v>
      </c>
      <c r="Y101" s="37" t="e">
        <f t="shared" si="32"/>
        <v>#VALUE!</v>
      </c>
      <c r="Z101" s="37" t="e">
        <f t="shared" si="33"/>
        <v>#VALUE!</v>
      </c>
      <c r="AA101" s="37" t="e">
        <f t="shared" si="34"/>
        <v>#DIV/0!</v>
      </c>
      <c r="AB101" s="37" t="e">
        <f t="shared" si="35"/>
        <v>#VALUE!</v>
      </c>
      <c r="AC101" s="37" t="e">
        <f t="shared" si="49"/>
        <v>#VALUE!</v>
      </c>
      <c r="AD101" s="37" t="e">
        <f t="shared" si="50"/>
        <v>#VALUE!</v>
      </c>
      <c r="AE101" s="37" t="e">
        <f t="shared" si="51"/>
        <v>#VALUE!</v>
      </c>
      <c r="AF101" s="37" t="e">
        <f t="shared" si="39"/>
        <v>#VALUE!</v>
      </c>
      <c r="AG101" s="37" t="e">
        <f t="shared" si="40"/>
        <v>#DIV/0!</v>
      </c>
      <c r="AH101" s="37" t="e">
        <f t="shared" si="41"/>
        <v>#VALUE!</v>
      </c>
      <c r="AI101" s="37"/>
      <c r="AJ101" s="37"/>
      <c r="AK101" s="37"/>
      <c r="AL101" s="37"/>
      <c r="AM101" s="37"/>
      <c r="AP101" s="36"/>
      <c r="AQ101" s="36"/>
      <c r="AR101" s="36"/>
    </row>
    <row r="102" spans="1:44" x14ac:dyDescent="0.2">
      <c r="A102" s="85" t="s">
        <v>11</v>
      </c>
      <c r="B102" s="84">
        <f>'1.1. Routine surveillance data'!B14</f>
        <v>0</v>
      </c>
      <c r="C102" s="84">
        <f t="shared" si="26"/>
        <v>0</v>
      </c>
      <c r="D102" s="84">
        <f>'1.1. Routine surveillance data'!D14</f>
        <v>0</v>
      </c>
      <c r="E102" s="84">
        <f>'1.1. Routine surveillance data'!E14</f>
        <v>0</v>
      </c>
      <c r="F102" s="84">
        <f>'1.1. Routine surveillance data'!F14</f>
        <v>0</v>
      </c>
      <c r="G102" s="84">
        <f t="shared" si="18"/>
        <v>0</v>
      </c>
      <c r="H102" s="84"/>
      <c r="I102" s="81">
        <f t="shared" si="19"/>
        <v>0</v>
      </c>
      <c r="J102" s="37" t="e">
        <f t="shared" si="20"/>
        <v>#DIV/0!</v>
      </c>
      <c r="K102" s="37" t="e">
        <f t="shared" si="21"/>
        <v>#DIV/0!</v>
      </c>
      <c r="L102" s="37" t="e">
        <f t="shared" si="22"/>
        <v>#DIV/0!</v>
      </c>
      <c r="M102" s="37" t="e">
        <f t="shared" si="42"/>
        <v>#DIV/0!</v>
      </c>
      <c r="N102" s="37" t="e">
        <f t="shared" si="43"/>
        <v>#DIV/0!</v>
      </c>
      <c r="O102" s="37" t="e">
        <f t="shared" si="44"/>
        <v>#DIV/0!</v>
      </c>
      <c r="P102" s="37" t="e">
        <f t="shared" si="23"/>
        <v>#DIV/0!</v>
      </c>
      <c r="Q102" s="37" t="e">
        <f t="shared" si="24"/>
        <v>#DIV/0!</v>
      </c>
      <c r="R102" s="37" t="e">
        <f t="shared" si="25"/>
        <v>#DIV/0!</v>
      </c>
      <c r="S102" s="37" t="e">
        <f t="shared" si="46"/>
        <v>#VALUE!</v>
      </c>
      <c r="T102" s="37" t="e">
        <f t="shared" si="47"/>
        <v>#VALUE!</v>
      </c>
      <c r="U102" s="37" t="e">
        <f t="shared" si="48"/>
        <v>#VALUE!</v>
      </c>
      <c r="V102" s="37" t="e">
        <f t="shared" si="45"/>
        <v>#VALUE!</v>
      </c>
      <c r="W102" s="37" t="e">
        <f t="shared" si="30"/>
        <v>#VALUE!</v>
      </c>
      <c r="X102" s="37" t="e">
        <f t="shared" si="31"/>
        <v>#VALUE!</v>
      </c>
      <c r="Y102" s="37" t="e">
        <f t="shared" si="32"/>
        <v>#VALUE!</v>
      </c>
      <c r="Z102" s="37" t="e">
        <f t="shared" si="33"/>
        <v>#VALUE!</v>
      </c>
      <c r="AA102" s="37" t="e">
        <f t="shared" si="34"/>
        <v>#DIV/0!</v>
      </c>
      <c r="AB102" s="37" t="e">
        <f t="shared" si="35"/>
        <v>#VALUE!</v>
      </c>
      <c r="AC102" s="37" t="e">
        <f t="shared" si="49"/>
        <v>#VALUE!</v>
      </c>
      <c r="AD102" s="37" t="e">
        <f t="shared" si="50"/>
        <v>#VALUE!</v>
      </c>
      <c r="AE102" s="37" t="e">
        <f t="shared" si="51"/>
        <v>#VALUE!</v>
      </c>
      <c r="AF102" s="37" t="e">
        <f>MIN(Z102,AC102)</f>
        <v>#VALUE!</v>
      </c>
      <c r="AG102" s="37" t="e">
        <f t="shared" si="40"/>
        <v>#DIV/0!</v>
      </c>
      <c r="AH102" s="37" t="e">
        <f t="shared" si="41"/>
        <v>#VALUE!</v>
      </c>
      <c r="AI102" s="37"/>
      <c r="AJ102" s="37"/>
      <c r="AK102" s="37"/>
      <c r="AL102" s="37"/>
      <c r="AM102" s="37"/>
      <c r="AP102" s="36"/>
      <c r="AQ102" s="36"/>
      <c r="AR102" s="36"/>
    </row>
    <row r="103" spans="1:44" x14ac:dyDescent="0.2">
      <c r="A103" s="85" t="s">
        <v>12</v>
      </c>
      <c r="B103" s="84">
        <f>'1.1. Routine surveillance data'!B15</f>
        <v>0</v>
      </c>
      <c r="C103" s="84">
        <f t="shared" si="26"/>
        <v>0</v>
      </c>
      <c r="D103" s="84">
        <f>'1.1. Routine surveillance data'!D15</f>
        <v>0</v>
      </c>
      <c r="E103" s="84">
        <f>'1.1. Routine surveillance data'!E15</f>
        <v>0</v>
      </c>
      <c r="F103" s="84">
        <f>'1.1. Routine surveillance data'!F15</f>
        <v>0</v>
      </c>
      <c r="G103" s="84">
        <f t="shared" si="18"/>
        <v>0</v>
      </c>
      <c r="H103" s="84"/>
      <c r="I103" s="81">
        <f t="shared" si="19"/>
        <v>0</v>
      </c>
      <c r="J103" s="37" t="e">
        <f t="shared" si="20"/>
        <v>#DIV/0!</v>
      </c>
      <c r="K103" s="37" t="e">
        <f t="shared" si="21"/>
        <v>#DIV/0!</v>
      </c>
      <c r="L103" s="37" t="e">
        <f t="shared" si="22"/>
        <v>#DIV/0!</v>
      </c>
      <c r="M103" s="37" t="e">
        <f t="shared" si="42"/>
        <v>#DIV/0!</v>
      </c>
      <c r="N103" s="37" t="e">
        <f t="shared" si="43"/>
        <v>#DIV/0!</v>
      </c>
      <c r="O103" s="37" t="e">
        <f t="shared" si="44"/>
        <v>#DIV/0!</v>
      </c>
      <c r="P103" s="37" t="e">
        <f t="shared" si="23"/>
        <v>#DIV/0!</v>
      </c>
      <c r="Q103" s="37" t="e">
        <f t="shared" si="24"/>
        <v>#DIV/0!</v>
      </c>
      <c r="R103" s="37" t="e">
        <f t="shared" si="25"/>
        <v>#DIV/0!</v>
      </c>
      <c r="S103" s="37" t="e">
        <f t="shared" si="46"/>
        <v>#VALUE!</v>
      </c>
      <c r="T103" s="37" t="e">
        <f t="shared" si="47"/>
        <v>#VALUE!</v>
      </c>
      <c r="U103" s="37" t="e">
        <f t="shared" si="48"/>
        <v>#VALUE!</v>
      </c>
      <c r="V103" s="37" t="e">
        <f t="shared" si="45"/>
        <v>#VALUE!</v>
      </c>
      <c r="W103" s="37" t="e">
        <f t="shared" si="30"/>
        <v>#VALUE!</v>
      </c>
      <c r="X103" s="37" t="e">
        <f t="shared" si="31"/>
        <v>#VALUE!</v>
      </c>
      <c r="Y103" s="37" t="e">
        <f t="shared" si="32"/>
        <v>#VALUE!</v>
      </c>
      <c r="Z103" s="37" t="e">
        <f t="shared" si="33"/>
        <v>#VALUE!</v>
      </c>
      <c r="AA103" s="37" t="e">
        <f t="shared" si="34"/>
        <v>#DIV/0!</v>
      </c>
      <c r="AB103" s="37" t="e">
        <f t="shared" si="35"/>
        <v>#VALUE!</v>
      </c>
      <c r="AC103" s="37" t="e">
        <f t="shared" si="49"/>
        <v>#VALUE!</v>
      </c>
      <c r="AD103" s="37" t="e">
        <f t="shared" si="50"/>
        <v>#VALUE!</v>
      </c>
      <c r="AE103" s="37" t="e">
        <f t="shared" si="51"/>
        <v>#VALUE!</v>
      </c>
      <c r="AF103" s="37" t="e">
        <f t="shared" si="39"/>
        <v>#VALUE!</v>
      </c>
      <c r="AG103" s="37" t="e">
        <f t="shared" si="40"/>
        <v>#DIV/0!</v>
      </c>
      <c r="AH103" s="37" t="e">
        <f t="shared" si="41"/>
        <v>#VALUE!</v>
      </c>
      <c r="AI103" s="37"/>
      <c r="AJ103" s="37"/>
      <c r="AK103" s="37"/>
      <c r="AL103" s="37"/>
      <c r="AM103" s="37"/>
      <c r="AP103" s="36"/>
      <c r="AQ103" s="36"/>
      <c r="AR103" s="36"/>
    </row>
    <row r="104" spans="1:44" x14ac:dyDescent="0.2">
      <c r="A104" s="85" t="s">
        <v>13</v>
      </c>
      <c r="B104" s="84">
        <f>'1.1. Routine surveillance data'!B16</f>
        <v>0</v>
      </c>
      <c r="C104" s="84">
        <f t="shared" si="26"/>
        <v>0</v>
      </c>
      <c r="D104" s="84">
        <f>'1.1. Routine surveillance data'!D16</f>
        <v>0</v>
      </c>
      <c r="E104" s="84">
        <f>'1.1. Routine surveillance data'!E16</f>
        <v>0</v>
      </c>
      <c r="F104" s="84">
        <f>'1.1. Routine surveillance data'!F16</f>
        <v>0</v>
      </c>
      <c r="G104" s="84">
        <f t="shared" si="18"/>
        <v>0</v>
      </c>
      <c r="H104" s="84"/>
      <c r="I104" s="81">
        <f t="shared" si="19"/>
        <v>0</v>
      </c>
      <c r="J104" s="37" t="e">
        <f t="shared" si="20"/>
        <v>#DIV/0!</v>
      </c>
      <c r="K104" s="37" t="e">
        <f t="shared" si="21"/>
        <v>#DIV/0!</v>
      </c>
      <c r="L104" s="37" t="e">
        <f t="shared" si="22"/>
        <v>#DIV/0!</v>
      </c>
      <c r="M104" s="37" t="e">
        <f t="shared" si="42"/>
        <v>#DIV/0!</v>
      </c>
      <c r="N104" s="37" t="e">
        <f t="shared" si="43"/>
        <v>#DIV/0!</v>
      </c>
      <c r="O104" s="37" t="e">
        <f t="shared" si="44"/>
        <v>#DIV/0!</v>
      </c>
      <c r="P104" s="37" t="e">
        <f t="shared" si="23"/>
        <v>#DIV/0!</v>
      </c>
      <c r="Q104" s="37" t="e">
        <f t="shared" si="24"/>
        <v>#DIV/0!</v>
      </c>
      <c r="R104" s="37" t="e">
        <f t="shared" si="25"/>
        <v>#DIV/0!</v>
      </c>
      <c r="S104" s="37" t="e">
        <f t="shared" si="46"/>
        <v>#VALUE!</v>
      </c>
      <c r="T104" s="37" t="e">
        <f t="shared" si="47"/>
        <v>#VALUE!</v>
      </c>
      <c r="U104" s="37" t="e">
        <f t="shared" si="48"/>
        <v>#VALUE!</v>
      </c>
      <c r="V104" s="37" t="e">
        <f t="shared" si="45"/>
        <v>#VALUE!</v>
      </c>
      <c r="W104" s="37" t="e">
        <f t="shared" si="30"/>
        <v>#VALUE!</v>
      </c>
      <c r="X104" s="37" t="e">
        <f t="shared" si="31"/>
        <v>#VALUE!</v>
      </c>
      <c r="Y104" s="37" t="e">
        <f t="shared" si="32"/>
        <v>#VALUE!</v>
      </c>
      <c r="Z104" s="37" t="e">
        <f t="shared" si="33"/>
        <v>#VALUE!</v>
      </c>
      <c r="AA104" s="37" t="e">
        <f t="shared" si="34"/>
        <v>#DIV/0!</v>
      </c>
      <c r="AB104" s="37" t="e">
        <f t="shared" si="35"/>
        <v>#VALUE!</v>
      </c>
      <c r="AC104" s="37" t="e">
        <f t="shared" si="49"/>
        <v>#VALUE!</v>
      </c>
      <c r="AD104" s="37" t="e">
        <f t="shared" si="50"/>
        <v>#VALUE!</v>
      </c>
      <c r="AE104" s="37" t="e">
        <f t="shared" si="51"/>
        <v>#VALUE!</v>
      </c>
      <c r="AF104" s="37" t="e">
        <f t="shared" si="39"/>
        <v>#VALUE!</v>
      </c>
      <c r="AG104" s="37" t="e">
        <f t="shared" si="40"/>
        <v>#DIV/0!</v>
      </c>
      <c r="AH104" s="37" t="e">
        <f t="shared" si="41"/>
        <v>#VALUE!</v>
      </c>
      <c r="AI104" s="37"/>
      <c r="AJ104" s="37"/>
      <c r="AK104" s="37"/>
      <c r="AL104" s="37"/>
      <c r="AM104" s="37"/>
      <c r="AP104" s="36"/>
      <c r="AQ104" s="36"/>
      <c r="AR104" s="36"/>
    </row>
    <row r="105" spans="1:44" x14ac:dyDescent="0.2">
      <c r="A105" s="86" t="s">
        <v>28</v>
      </c>
      <c r="B105" s="84">
        <f>SUM(B94:B104)</f>
        <v>0</v>
      </c>
      <c r="C105" s="84">
        <f t="shared" ref="C105:D105" si="52">SUM(C94:C104)</f>
        <v>0</v>
      </c>
      <c r="D105" s="84">
        <f t="shared" si="52"/>
        <v>0</v>
      </c>
      <c r="E105" s="84">
        <f t="shared" ref="E105:J105" si="53">SUM(E94:E104)</f>
        <v>0</v>
      </c>
      <c r="F105" s="84">
        <f t="shared" si="53"/>
        <v>0</v>
      </c>
      <c r="G105" s="84">
        <f t="shared" si="53"/>
        <v>0</v>
      </c>
      <c r="H105" s="84"/>
      <c r="I105" s="84">
        <f t="shared" si="53"/>
        <v>0</v>
      </c>
      <c r="J105" s="84" t="e">
        <f t="shared" si="53"/>
        <v>#DIV/0!</v>
      </c>
      <c r="K105" s="84" t="e">
        <f t="shared" ref="K105" si="54">SUM(K94:K104)</f>
        <v>#DIV/0!</v>
      </c>
      <c r="L105" s="84" t="e">
        <f t="shared" ref="L105" si="55">SUM(L94:L104)</f>
        <v>#DIV/0!</v>
      </c>
      <c r="M105" s="84" t="e">
        <f t="shared" ref="M105" si="56">SUM(M94:M104)</f>
        <v>#DIV/0!</v>
      </c>
      <c r="N105" s="84" t="e">
        <f t="shared" ref="N105" si="57">SUM(N94:N104)</f>
        <v>#DIV/0!</v>
      </c>
      <c r="O105" s="84" t="e">
        <f t="shared" ref="O105" si="58">SUM(O94:O104)</f>
        <v>#DIV/0!</v>
      </c>
      <c r="P105" s="84" t="e">
        <f t="shared" ref="P105:AH105" si="59">SUM(P94:P104)</f>
        <v>#DIV/0!</v>
      </c>
      <c r="Q105" s="84" t="e">
        <f t="shared" si="59"/>
        <v>#DIV/0!</v>
      </c>
      <c r="R105" s="84" t="e">
        <f t="shared" si="59"/>
        <v>#DIV/0!</v>
      </c>
      <c r="S105" s="84" t="e">
        <f t="shared" si="59"/>
        <v>#VALUE!</v>
      </c>
      <c r="T105" s="84" t="e">
        <f t="shared" si="59"/>
        <v>#VALUE!</v>
      </c>
      <c r="U105" s="84" t="e">
        <f t="shared" si="59"/>
        <v>#VALUE!</v>
      </c>
      <c r="V105" s="84" t="e">
        <f t="shared" si="59"/>
        <v>#VALUE!</v>
      </c>
      <c r="W105" s="84" t="e">
        <f t="shared" si="59"/>
        <v>#VALUE!</v>
      </c>
      <c r="X105" s="84" t="e">
        <f t="shared" si="59"/>
        <v>#VALUE!</v>
      </c>
      <c r="Y105" s="84" t="e">
        <f t="shared" si="59"/>
        <v>#VALUE!</v>
      </c>
      <c r="Z105" s="84" t="e">
        <f t="shared" si="59"/>
        <v>#VALUE!</v>
      </c>
      <c r="AA105" s="84" t="e">
        <f t="shared" si="59"/>
        <v>#DIV/0!</v>
      </c>
      <c r="AB105" s="84" t="e">
        <f t="shared" si="59"/>
        <v>#VALUE!</v>
      </c>
      <c r="AC105" s="84" t="e">
        <f t="shared" si="59"/>
        <v>#VALUE!</v>
      </c>
      <c r="AD105" s="84" t="e">
        <f t="shared" si="59"/>
        <v>#VALUE!</v>
      </c>
      <c r="AE105" s="84" t="e">
        <f>SUM(AE94:AE104)</f>
        <v>#VALUE!</v>
      </c>
      <c r="AF105" s="84" t="e">
        <f t="shared" si="59"/>
        <v>#VALUE!</v>
      </c>
      <c r="AG105" s="84" t="e">
        <f t="shared" si="59"/>
        <v>#DIV/0!</v>
      </c>
      <c r="AH105" s="84" t="e">
        <f t="shared" si="59"/>
        <v>#VALUE!</v>
      </c>
      <c r="AI105" s="37"/>
      <c r="AJ105" s="37"/>
      <c r="AK105" s="37"/>
      <c r="AL105" s="37"/>
      <c r="AM105" s="37"/>
      <c r="AP105" s="36"/>
      <c r="AQ105" s="36"/>
      <c r="AR105" s="36"/>
    </row>
    <row r="106" spans="1:44" x14ac:dyDescent="0.2">
      <c r="A106" s="37"/>
      <c r="B106" s="37"/>
      <c r="C106" s="37"/>
      <c r="D106" s="37"/>
      <c r="E106" s="81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P106" s="36"/>
      <c r="AQ106" s="36"/>
      <c r="AR106" s="36"/>
    </row>
    <row r="107" spans="1:44" x14ac:dyDescent="0.2">
      <c r="A107" s="37"/>
      <c r="B107" s="37"/>
      <c r="C107" s="37"/>
      <c r="D107" s="37"/>
      <c r="E107" s="81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P107" s="36"/>
      <c r="AQ107" s="36"/>
      <c r="AR107" s="36"/>
    </row>
    <row r="108" spans="1:44" x14ac:dyDescent="0.2">
      <c r="A108" s="37"/>
      <c r="B108" s="37"/>
      <c r="C108" s="37" t="s">
        <v>504</v>
      </c>
      <c r="D108" s="37" t="s">
        <v>505</v>
      </c>
      <c r="E108" s="81" t="s">
        <v>28</v>
      </c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P108" s="36"/>
      <c r="AQ108" s="36"/>
      <c r="AR108" s="36"/>
    </row>
    <row r="109" spans="1:44" x14ac:dyDescent="0.2">
      <c r="A109" s="37"/>
      <c r="B109" s="37" t="s">
        <v>506</v>
      </c>
      <c r="C109" s="37">
        <f>SUM(B94:B97)</f>
        <v>0</v>
      </c>
      <c r="D109" s="37">
        <f>SUM(E94:E97)</f>
        <v>0</v>
      </c>
      <c r="E109" s="81">
        <f>SUM(C109:D109)</f>
        <v>0</v>
      </c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P109" s="36"/>
      <c r="AQ109" s="36"/>
      <c r="AR109" s="36"/>
    </row>
    <row r="110" spans="1:44" x14ac:dyDescent="0.2">
      <c r="A110" s="37"/>
      <c r="B110" s="37" t="s">
        <v>507</v>
      </c>
      <c r="C110" s="37">
        <f>SUM(B98:B104)</f>
        <v>0</v>
      </c>
      <c r="D110" s="37">
        <f>SUM(E98:E104)</f>
        <v>0</v>
      </c>
      <c r="E110" s="81">
        <f>SUM(C110:D110)</f>
        <v>0</v>
      </c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P110" s="36"/>
      <c r="AQ110" s="36"/>
      <c r="AR110" s="36"/>
    </row>
    <row r="111" spans="1:44" x14ac:dyDescent="0.2">
      <c r="A111" s="37"/>
      <c r="B111" s="37" t="s">
        <v>28</v>
      </c>
      <c r="C111" s="37">
        <f>SUM(C109:C110)</f>
        <v>0</v>
      </c>
      <c r="D111" s="37">
        <f>SUM(D109:D110)</f>
        <v>0</v>
      </c>
      <c r="E111" s="81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P111" s="36"/>
      <c r="AQ111" s="36"/>
      <c r="AR111" s="36"/>
    </row>
    <row r="112" spans="1:44" x14ac:dyDescent="0.2">
      <c r="A112" s="37"/>
      <c r="B112" s="37"/>
      <c r="C112" s="37"/>
      <c r="D112" s="37"/>
      <c r="E112" s="81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P112" s="36"/>
      <c r="AQ112" s="36"/>
      <c r="AR112" s="36"/>
    </row>
    <row r="113" spans="1:44" x14ac:dyDescent="0.2">
      <c r="A113" s="37"/>
      <c r="B113" s="37"/>
      <c r="C113" s="37"/>
      <c r="D113" s="37"/>
      <c r="E113" s="81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P113" s="36"/>
      <c r="AQ113" s="36"/>
      <c r="AR113" s="36"/>
    </row>
    <row r="114" spans="1:44" x14ac:dyDescent="0.2">
      <c r="A114" s="37"/>
      <c r="B114" s="37"/>
      <c r="C114" s="37"/>
      <c r="D114" s="37"/>
      <c r="E114" s="81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P114" s="36"/>
      <c r="AQ114" s="36"/>
      <c r="AR114" s="36"/>
    </row>
    <row r="115" spans="1:44" x14ac:dyDescent="0.2">
      <c r="AM115" s="37"/>
      <c r="AP115" s="36"/>
      <c r="AQ115" s="36"/>
      <c r="AR115" s="36"/>
    </row>
    <row r="116" spans="1:44" x14ac:dyDescent="0.2">
      <c r="AM116" s="37"/>
      <c r="AP116" s="36"/>
      <c r="AQ116" s="36"/>
      <c r="AR116" s="36"/>
    </row>
    <row r="117" spans="1:44" x14ac:dyDescent="0.2">
      <c r="AM117" s="37"/>
      <c r="AP117" s="36"/>
      <c r="AQ117" s="36"/>
      <c r="AR117" s="36"/>
    </row>
    <row r="118" spans="1:44" x14ac:dyDescent="0.2">
      <c r="AM118" s="37"/>
      <c r="AP118" s="36"/>
      <c r="AQ118" s="36"/>
      <c r="AR118" s="36"/>
    </row>
    <row r="119" spans="1:44" x14ac:dyDescent="0.2">
      <c r="AM119" s="37"/>
      <c r="AP119" s="36"/>
      <c r="AQ119" s="36"/>
      <c r="AR119" s="36"/>
    </row>
    <row r="120" spans="1:44" x14ac:dyDescent="0.2">
      <c r="AM120" s="37"/>
      <c r="AP120" s="36"/>
      <c r="AQ120" s="36"/>
      <c r="AR120" s="36"/>
    </row>
    <row r="121" spans="1:44" x14ac:dyDescent="0.2">
      <c r="AM121" s="37"/>
      <c r="AP121" s="36"/>
      <c r="AQ121" s="36"/>
      <c r="AR121" s="36"/>
    </row>
    <row r="122" spans="1:44" x14ac:dyDescent="0.2">
      <c r="AP122" s="36"/>
      <c r="AQ122" s="36"/>
      <c r="AR122" s="36"/>
    </row>
    <row r="123" spans="1:44" x14ac:dyDescent="0.2">
      <c r="AP123" s="36"/>
      <c r="AQ123" s="36"/>
      <c r="AR123" s="36"/>
    </row>
    <row r="124" spans="1:44" x14ac:dyDescent="0.2">
      <c r="AP124" s="36"/>
      <c r="AQ124" s="36"/>
      <c r="AR124" s="36"/>
    </row>
    <row r="125" spans="1:44" x14ac:dyDescent="0.2">
      <c r="AP125" s="36"/>
      <c r="AQ125" s="36"/>
      <c r="AR125" s="36"/>
    </row>
    <row r="126" spans="1:44" x14ac:dyDescent="0.2">
      <c r="AP126" s="36"/>
      <c r="AQ126" s="36"/>
      <c r="AR126" s="36"/>
    </row>
    <row r="127" spans="1:44" x14ac:dyDescent="0.2">
      <c r="AP127" s="36"/>
      <c r="AQ127" s="36"/>
      <c r="AR127" s="36"/>
    </row>
    <row r="128" spans="1:44" x14ac:dyDescent="0.2">
      <c r="AP128" s="36"/>
      <c r="AQ128" s="36"/>
      <c r="AR128" s="36"/>
    </row>
    <row r="129" spans="42:44" x14ac:dyDescent="0.2">
      <c r="AP129" s="36"/>
      <c r="AQ129" s="36"/>
      <c r="AR129" s="36"/>
    </row>
    <row r="130" spans="42:44" x14ac:dyDescent="0.2">
      <c r="AP130" s="36"/>
      <c r="AQ130" s="36"/>
      <c r="AR130" s="36"/>
    </row>
    <row r="131" spans="42:44" x14ac:dyDescent="0.2">
      <c r="AP131" s="36"/>
      <c r="AQ131" s="36"/>
      <c r="AR131" s="36"/>
    </row>
    <row r="132" spans="42:44" x14ac:dyDescent="0.2">
      <c r="AP132" s="36"/>
      <c r="AQ132" s="36"/>
      <c r="AR132" s="36"/>
    </row>
    <row r="133" spans="42:44" x14ac:dyDescent="0.2">
      <c r="AP133" s="36"/>
      <c r="AQ133" s="36"/>
      <c r="AR133" s="36"/>
    </row>
    <row r="134" spans="42:44" x14ac:dyDescent="0.2">
      <c r="AP134" s="36"/>
      <c r="AQ134" s="36"/>
      <c r="AR134" s="36"/>
    </row>
    <row r="135" spans="42:44" x14ac:dyDescent="0.2">
      <c r="AP135" s="36"/>
      <c r="AQ135" s="36"/>
      <c r="AR135" s="36"/>
    </row>
    <row r="136" spans="42:44" x14ac:dyDescent="0.2">
      <c r="AP136" s="36"/>
      <c r="AQ136" s="36"/>
      <c r="AR136" s="36"/>
    </row>
    <row r="137" spans="42:44" x14ac:dyDescent="0.2">
      <c r="AP137" s="36"/>
      <c r="AQ137" s="36"/>
      <c r="AR137" s="36"/>
    </row>
    <row r="138" spans="42:44" x14ac:dyDescent="0.2">
      <c r="AP138" s="36"/>
      <c r="AQ138" s="36"/>
      <c r="AR138" s="36"/>
    </row>
    <row r="139" spans="42:44" x14ac:dyDescent="0.2">
      <c r="AP139" s="36"/>
      <c r="AQ139" s="36"/>
      <c r="AR139" s="36"/>
    </row>
    <row r="140" spans="42:44" x14ac:dyDescent="0.2">
      <c r="AP140" s="36"/>
      <c r="AQ140" s="36"/>
      <c r="AR140" s="36"/>
    </row>
    <row r="141" spans="42:44" x14ac:dyDescent="0.2">
      <c r="AP141" s="36"/>
      <c r="AQ141" s="36"/>
      <c r="AR141" s="36"/>
    </row>
    <row r="142" spans="42:44" x14ac:dyDescent="0.2">
      <c r="AP142" s="36"/>
      <c r="AQ142" s="36"/>
      <c r="AR142" s="36"/>
    </row>
    <row r="143" spans="42:44" x14ac:dyDescent="0.2">
      <c r="AP143" s="36"/>
      <c r="AQ143" s="36"/>
      <c r="AR143" s="36"/>
    </row>
    <row r="144" spans="42:44" x14ac:dyDescent="0.2">
      <c r="AP144" s="36"/>
      <c r="AQ144" s="36"/>
      <c r="AR144" s="36"/>
    </row>
    <row r="145" spans="42:44" x14ac:dyDescent="0.2">
      <c r="AP145" s="36"/>
      <c r="AQ145" s="36"/>
      <c r="AR145" s="36"/>
    </row>
    <row r="146" spans="42:44" x14ac:dyDescent="0.2">
      <c r="AP146" s="36"/>
      <c r="AQ146" s="36"/>
      <c r="AR146" s="36"/>
    </row>
    <row r="147" spans="42:44" x14ac:dyDescent="0.2">
      <c r="AP147" s="36"/>
      <c r="AQ147" s="36"/>
      <c r="AR147" s="36"/>
    </row>
    <row r="148" spans="42:44" x14ac:dyDescent="0.2">
      <c r="AP148" s="36"/>
      <c r="AQ148" s="36"/>
      <c r="AR148" s="36"/>
    </row>
    <row r="149" spans="42:44" x14ac:dyDescent="0.2">
      <c r="AP149" s="36"/>
      <c r="AQ149" s="36"/>
      <c r="AR149" s="36"/>
    </row>
    <row r="150" spans="42:44" x14ac:dyDescent="0.2">
      <c r="AP150" s="36"/>
      <c r="AQ150" s="36"/>
      <c r="AR150" s="36"/>
    </row>
    <row r="151" spans="42:44" x14ac:dyDescent="0.2">
      <c r="AP151" s="36"/>
      <c r="AQ151" s="36"/>
      <c r="AR151" s="36"/>
    </row>
    <row r="152" spans="42:44" x14ac:dyDescent="0.2">
      <c r="AP152" s="36"/>
      <c r="AQ152" s="36"/>
      <c r="AR152" s="36"/>
    </row>
    <row r="153" spans="42:44" x14ac:dyDescent="0.2">
      <c r="AP153" s="36"/>
      <c r="AQ153" s="36"/>
      <c r="AR153" s="36"/>
    </row>
    <row r="154" spans="42:44" x14ac:dyDescent="0.2">
      <c r="AP154" s="36"/>
      <c r="AQ154" s="36"/>
      <c r="AR154" s="36"/>
    </row>
    <row r="155" spans="42:44" x14ac:dyDescent="0.2">
      <c r="AP155" s="36"/>
      <c r="AQ155" s="36"/>
      <c r="AR155" s="36"/>
    </row>
    <row r="156" spans="42:44" x14ac:dyDescent="0.2">
      <c r="AP156" s="36"/>
      <c r="AQ156" s="36"/>
      <c r="AR156" s="36"/>
    </row>
    <row r="157" spans="42:44" x14ac:dyDescent="0.2">
      <c r="AP157" s="36"/>
      <c r="AQ157" s="36"/>
      <c r="AR157" s="36"/>
    </row>
    <row r="158" spans="42:44" x14ac:dyDescent="0.2">
      <c r="AP158" s="36"/>
      <c r="AQ158" s="36"/>
      <c r="AR158" s="36"/>
    </row>
    <row r="159" spans="42:44" x14ac:dyDescent="0.2">
      <c r="AP159" s="36"/>
      <c r="AQ159" s="36"/>
      <c r="AR159" s="36"/>
    </row>
    <row r="160" spans="42:44" x14ac:dyDescent="0.2">
      <c r="AP160" s="36"/>
      <c r="AQ160" s="36"/>
      <c r="AR160" s="36"/>
    </row>
    <row r="161" spans="42:44" x14ac:dyDescent="0.2">
      <c r="AP161" s="36"/>
      <c r="AQ161" s="36"/>
      <c r="AR161" s="36"/>
    </row>
    <row r="162" spans="42:44" x14ac:dyDescent="0.2">
      <c r="AP162" s="36"/>
      <c r="AQ162" s="36"/>
      <c r="AR162" s="36"/>
    </row>
    <row r="163" spans="42:44" x14ac:dyDescent="0.2">
      <c r="AP163" s="36"/>
      <c r="AQ163" s="36"/>
      <c r="AR163" s="36"/>
    </row>
    <row r="164" spans="42:44" x14ac:dyDescent="0.2">
      <c r="AP164" s="36"/>
      <c r="AQ164" s="36"/>
      <c r="AR164" s="36"/>
    </row>
    <row r="165" spans="42:44" x14ac:dyDescent="0.2">
      <c r="AP165" s="36"/>
      <c r="AQ165" s="36"/>
      <c r="AR165" s="36"/>
    </row>
    <row r="166" spans="42:44" x14ac:dyDescent="0.2">
      <c r="AP166" s="36"/>
      <c r="AQ166" s="36"/>
      <c r="AR166" s="36"/>
    </row>
    <row r="167" spans="42:44" x14ac:dyDescent="0.2">
      <c r="AP167" s="36"/>
      <c r="AQ167" s="36"/>
      <c r="AR167" s="36"/>
    </row>
    <row r="168" spans="42:44" x14ac:dyDescent="0.2">
      <c r="AP168" s="36"/>
      <c r="AQ168" s="36"/>
      <c r="AR168" s="36"/>
    </row>
    <row r="169" spans="42:44" x14ac:dyDescent="0.2">
      <c r="AP169" s="36"/>
      <c r="AQ169" s="36"/>
      <c r="AR169" s="36"/>
    </row>
    <row r="170" spans="42:44" x14ac:dyDescent="0.2">
      <c r="AP170" s="36"/>
      <c r="AQ170" s="36"/>
      <c r="AR170" s="36"/>
    </row>
    <row r="171" spans="42:44" x14ac:dyDescent="0.2">
      <c r="AP171" s="36"/>
      <c r="AQ171" s="36"/>
      <c r="AR171" s="36"/>
    </row>
    <row r="172" spans="42:44" x14ac:dyDescent="0.2">
      <c r="AP172" s="36"/>
      <c r="AQ172" s="36"/>
      <c r="AR172" s="36"/>
    </row>
    <row r="173" spans="42:44" x14ac:dyDescent="0.2">
      <c r="AP173" s="36"/>
      <c r="AQ173" s="36"/>
      <c r="AR173" s="36"/>
    </row>
    <row r="174" spans="42:44" x14ac:dyDescent="0.2">
      <c r="AP174" s="36"/>
      <c r="AQ174" s="36"/>
      <c r="AR174" s="36"/>
    </row>
    <row r="175" spans="42:44" x14ac:dyDescent="0.2">
      <c r="AP175" s="36"/>
      <c r="AQ175" s="36"/>
      <c r="AR175" s="36"/>
    </row>
    <row r="176" spans="42:44" x14ac:dyDescent="0.2">
      <c r="AP176" s="36"/>
      <c r="AQ176" s="36"/>
      <c r="AR176" s="36"/>
    </row>
    <row r="177" spans="42:44" x14ac:dyDescent="0.2">
      <c r="AP177" s="36"/>
      <c r="AQ177" s="36"/>
      <c r="AR177" s="36"/>
    </row>
    <row r="178" spans="42:44" x14ac:dyDescent="0.2">
      <c r="AP178" s="36"/>
      <c r="AQ178" s="36"/>
      <c r="AR178" s="36"/>
    </row>
    <row r="179" spans="42:44" x14ac:dyDescent="0.2">
      <c r="AP179" s="36"/>
      <c r="AQ179" s="36"/>
      <c r="AR179" s="36"/>
    </row>
    <row r="180" spans="42:44" x14ac:dyDescent="0.2">
      <c r="AP180" s="36"/>
      <c r="AQ180" s="36"/>
      <c r="AR180" s="36"/>
    </row>
    <row r="181" spans="42:44" x14ac:dyDescent="0.2">
      <c r="AP181" s="36"/>
      <c r="AQ181" s="36"/>
      <c r="AR181" s="36"/>
    </row>
    <row r="182" spans="42:44" x14ac:dyDescent="0.2">
      <c r="AP182" s="36"/>
      <c r="AQ182" s="36"/>
      <c r="AR182" s="36"/>
    </row>
    <row r="183" spans="42:44" x14ac:dyDescent="0.2">
      <c r="AP183" s="36"/>
      <c r="AQ183" s="36"/>
      <c r="AR183" s="36"/>
    </row>
    <row r="184" spans="42:44" x14ac:dyDescent="0.2">
      <c r="AP184" s="36"/>
      <c r="AQ184" s="36"/>
      <c r="AR184" s="36"/>
    </row>
    <row r="185" spans="42:44" x14ac:dyDescent="0.2">
      <c r="AP185" s="36"/>
      <c r="AQ185" s="36"/>
      <c r="AR185" s="36"/>
    </row>
    <row r="186" spans="42:44" x14ac:dyDescent="0.2">
      <c r="AP186" s="36"/>
      <c r="AQ186" s="36"/>
      <c r="AR186" s="36"/>
    </row>
    <row r="187" spans="42:44" x14ac:dyDescent="0.2">
      <c r="AP187" s="36"/>
      <c r="AQ187" s="36"/>
      <c r="AR187" s="36"/>
    </row>
    <row r="188" spans="42:44" x14ac:dyDescent="0.2">
      <c r="AP188" s="36"/>
      <c r="AQ188" s="36"/>
      <c r="AR188" s="36"/>
    </row>
    <row r="189" spans="42:44" x14ac:dyDescent="0.2">
      <c r="AP189" s="36"/>
      <c r="AQ189" s="36"/>
      <c r="AR189" s="36"/>
    </row>
    <row r="190" spans="42:44" x14ac:dyDescent="0.2">
      <c r="AP190" s="36"/>
      <c r="AQ190" s="36"/>
      <c r="AR190" s="36"/>
    </row>
    <row r="191" spans="42:44" x14ac:dyDescent="0.2">
      <c r="AP191" s="36"/>
      <c r="AQ191" s="36"/>
      <c r="AR191" s="36"/>
    </row>
    <row r="192" spans="42:44" x14ac:dyDescent="0.2">
      <c r="AP192" s="36"/>
      <c r="AQ192" s="36"/>
      <c r="AR192" s="36"/>
    </row>
    <row r="193" spans="42:44" x14ac:dyDescent="0.2">
      <c r="AP193" s="36"/>
      <c r="AQ193" s="36"/>
      <c r="AR193" s="36"/>
    </row>
    <row r="194" spans="42:44" x14ac:dyDescent="0.2">
      <c r="AP194" s="36"/>
      <c r="AQ194" s="36"/>
      <c r="AR194" s="36"/>
    </row>
    <row r="195" spans="42:44" x14ac:dyDescent="0.2">
      <c r="AP195" s="36"/>
      <c r="AQ195" s="36"/>
      <c r="AR195" s="36"/>
    </row>
    <row r="196" spans="42:44" x14ac:dyDescent="0.2">
      <c r="AP196" s="36"/>
      <c r="AQ196" s="36"/>
      <c r="AR196" s="36"/>
    </row>
    <row r="197" spans="42:44" x14ac:dyDescent="0.2">
      <c r="AP197" s="36"/>
      <c r="AQ197" s="36"/>
      <c r="AR197" s="36"/>
    </row>
    <row r="198" spans="42:44" x14ac:dyDescent="0.2">
      <c r="AP198" s="36"/>
      <c r="AQ198" s="36"/>
      <c r="AR198" s="36"/>
    </row>
    <row r="199" spans="42:44" x14ac:dyDescent="0.2">
      <c r="AP199" s="36"/>
      <c r="AQ199" s="36"/>
      <c r="AR199" s="36"/>
    </row>
    <row r="200" spans="42:44" x14ac:dyDescent="0.2">
      <c r="AP200" s="36"/>
      <c r="AQ200" s="36"/>
      <c r="AR200" s="36"/>
    </row>
    <row r="201" spans="42:44" x14ac:dyDescent="0.2">
      <c r="AP201" s="36"/>
      <c r="AQ201" s="36"/>
      <c r="AR201" s="36"/>
    </row>
    <row r="202" spans="42:44" x14ac:dyDescent="0.2">
      <c r="AP202" s="36"/>
      <c r="AQ202" s="36"/>
      <c r="AR202" s="36"/>
    </row>
    <row r="203" spans="42:44" x14ac:dyDescent="0.2">
      <c r="AP203" s="36"/>
      <c r="AQ203" s="36"/>
      <c r="AR203" s="36"/>
    </row>
    <row r="204" spans="42:44" x14ac:dyDescent="0.2">
      <c r="AP204" s="36"/>
      <c r="AQ204" s="36"/>
      <c r="AR204" s="36"/>
    </row>
    <row r="205" spans="42:44" x14ac:dyDescent="0.2">
      <c r="AP205" s="36"/>
      <c r="AQ205" s="36"/>
      <c r="AR205" s="36"/>
    </row>
    <row r="206" spans="42:44" x14ac:dyDescent="0.2">
      <c r="AP206" s="36"/>
      <c r="AQ206" s="36"/>
      <c r="AR206" s="36"/>
    </row>
    <row r="207" spans="42:44" x14ac:dyDescent="0.2">
      <c r="AP207" s="36"/>
      <c r="AQ207" s="36"/>
      <c r="AR207" s="36"/>
    </row>
    <row r="208" spans="42:44" x14ac:dyDescent="0.2">
      <c r="AP208" s="36"/>
      <c r="AQ208" s="36"/>
      <c r="AR208" s="36"/>
    </row>
    <row r="209" spans="42:44" x14ac:dyDescent="0.2">
      <c r="AP209" s="36"/>
      <c r="AQ209" s="36"/>
      <c r="AR209" s="36"/>
    </row>
    <row r="210" spans="42:44" x14ac:dyDescent="0.2">
      <c r="AP210" s="36"/>
      <c r="AQ210" s="36"/>
      <c r="AR210" s="36"/>
    </row>
    <row r="211" spans="42:44" x14ac:dyDescent="0.2">
      <c r="AP211" s="36"/>
      <c r="AQ211" s="36"/>
      <c r="AR211" s="36"/>
    </row>
    <row r="212" spans="42:44" x14ac:dyDescent="0.2">
      <c r="AP212" s="36"/>
      <c r="AQ212" s="36"/>
      <c r="AR212" s="36"/>
    </row>
    <row r="213" spans="42:44" x14ac:dyDescent="0.2">
      <c r="AP213" s="36"/>
      <c r="AQ213" s="36"/>
      <c r="AR213" s="36"/>
    </row>
    <row r="214" spans="42:44" x14ac:dyDescent="0.2">
      <c r="AP214" s="36"/>
      <c r="AQ214" s="36"/>
      <c r="AR214" s="36"/>
    </row>
    <row r="215" spans="42:44" x14ac:dyDescent="0.2">
      <c r="AP215" s="36"/>
      <c r="AQ215" s="36"/>
      <c r="AR215" s="36"/>
    </row>
    <row r="216" spans="42:44" x14ac:dyDescent="0.2">
      <c r="AP216" s="36"/>
      <c r="AQ216" s="36"/>
      <c r="AR216" s="36"/>
    </row>
    <row r="217" spans="42:44" x14ac:dyDescent="0.2">
      <c r="AP217" s="36"/>
      <c r="AQ217" s="36"/>
      <c r="AR217" s="36"/>
    </row>
    <row r="218" spans="42:44" x14ac:dyDescent="0.2">
      <c r="AP218" s="36"/>
      <c r="AQ218" s="36"/>
      <c r="AR218" s="36"/>
    </row>
    <row r="219" spans="42:44" x14ac:dyDescent="0.2">
      <c r="AP219" s="36"/>
      <c r="AQ219" s="36"/>
      <c r="AR219" s="36"/>
    </row>
    <row r="220" spans="42:44" x14ac:dyDescent="0.2">
      <c r="AP220" s="36"/>
      <c r="AQ220" s="36"/>
      <c r="AR220" s="36"/>
    </row>
    <row r="221" spans="42:44" x14ac:dyDescent="0.2">
      <c r="AP221" s="36"/>
      <c r="AQ221" s="36"/>
      <c r="AR221" s="36"/>
    </row>
    <row r="222" spans="42:44" x14ac:dyDescent="0.2">
      <c r="AP222" s="36"/>
      <c r="AQ222" s="36"/>
      <c r="AR222" s="36"/>
    </row>
    <row r="223" spans="42:44" x14ac:dyDescent="0.2">
      <c r="AP223" s="36"/>
      <c r="AQ223" s="36"/>
      <c r="AR223" s="36"/>
    </row>
    <row r="224" spans="42:44" x14ac:dyDescent="0.2">
      <c r="AP224" s="36"/>
      <c r="AQ224" s="36"/>
      <c r="AR224" s="36"/>
    </row>
    <row r="225" spans="42:44" x14ac:dyDescent="0.2">
      <c r="AP225" s="36"/>
      <c r="AQ225" s="36"/>
      <c r="AR225" s="36"/>
    </row>
    <row r="226" spans="42:44" x14ac:dyDescent="0.2">
      <c r="AP226" s="36"/>
      <c r="AQ226" s="36"/>
      <c r="AR226" s="36"/>
    </row>
    <row r="227" spans="42:44" x14ac:dyDescent="0.2">
      <c r="AP227" s="36"/>
      <c r="AQ227" s="36"/>
      <c r="AR227" s="36"/>
    </row>
    <row r="228" spans="42:44" x14ac:dyDescent="0.2">
      <c r="AP228" s="36"/>
      <c r="AQ228" s="36"/>
      <c r="AR228" s="36"/>
    </row>
    <row r="229" spans="42:44" x14ac:dyDescent="0.2">
      <c r="AP229" s="36"/>
      <c r="AQ229" s="36"/>
      <c r="AR229" s="36"/>
    </row>
    <row r="230" spans="42:44" x14ac:dyDescent="0.2">
      <c r="AP230" s="36"/>
      <c r="AQ230" s="36"/>
      <c r="AR230" s="36"/>
    </row>
    <row r="231" spans="42:44" x14ac:dyDescent="0.2">
      <c r="AP231" s="36"/>
      <c r="AQ231" s="36"/>
      <c r="AR231" s="36"/>
    </row>
    <row r="232" spans="42:44" x14ac:dyDescent="0.2">
      <c r="AP232" s="36"/>
      <c r="AQ232" s="36"/>
      <c r="AR232" s="36"/>
    </row>
    <row r="233" spans="42:44" x14ac:dyDescent="0.2">
      <c r="AP233" s="36"/>
      <c r="AQ233" s="36"/>
      <c r="AR233" s="36"/>
    </row>
    <row r="234" spans="42:44" x14ac:dyDescent="0.2">
      <c r="AP234" s="36"/>
      <c r="AQ234" s="36"/>
      <c r="AR234" s="36"/>
    </row>
    <row r="235" spans="42:44" x14ac:dyDescent="0.2">
      <c r="AP235" s="36"/>
      <c r="AQ235" s="36"/>
      <c r="AR235" s="36"/>
    </row>
    <row r="236" spans="42:44" x14ac:dyDescent="0.2">
      <c r="AP236" s="36"/>
      <c r="AQ236" s="36"/>
      <c r="AR236" s="36"/>
    </row>
    <row r="237" spans="42:44" x14ac:dyDescent="0.2">
      <c r="AP237" s="36"/>
      <c r="AQ237" s="36"/>
      <c r="AR237" s="36"/>
    </row>
    <row r="238" spans="42:44" x14ac:dyDescent="0.2">
      <c r="AP238" s="36"/>
      <c r="AQ238" s="36"/>
      <c r="AR238" s="36"/>
    </row>
    <row r="239" spans="42:44" x14ac:dyDescent="0.2">
      <c r="AP239" s="36"/>
      <c r="AQ239" s="36"/>
      <c r="AR239" s="36"/>
    </row>
    <row r="240" spans="42:44" x14ac:dyDescent="0.2">
      <c r="AP240" s="36"/>
      <c r="AQ240" s="36"/>
      <c r="AR240" s="36"/>
    </row>
    <row r="241" spans="42:44" x14ac:dyDescent="0.2">
      <c r="AP241" s="36"/>
      <c r="AQ241" s="36"/>
      <c r="AR241" s="36"/>
    </row>
    <row r="242" spans="42:44" x14ac:dyDescent="0.2">
      <c r="AP242" s="36"/>
      <c r="AQ242" s="36"/>
      <c r="AR242" s="36"/>
    </row>
    <row r="243" spans="42:44" x14ac:dyDescent="0.2">
      <c r="AP243" s="36"/>
      <c r="AQ243" s="36"/>
      <c r="AR243" s="36"/>
    </row>
    <row r="244" spans="42:44" x14ac:dyDescent="0.2">
      <c r="AP244" s="36"/>
      <c r="AQ244" s="36"/>
      <c r="AR244" s="36"/>
    </row>
    <row r="245" spans="42:44" x14ac:dyDescent="0.2">
      <c r="AP245" s="36"/>
      <c r="AQ245" s="36"/>
      <c r="AR245" s="36"/>
    </row>
    <row r="246" spans="42:44" x14ac:dyDescent="0.2">
      <c r="AP246" s="36"/>
      <c r="AQ246" s="36"/>
      <c r="AR246" s="36"/>
    </row>
    <row r="247" spans="42:44" x14ac:dyDescent="0.2">
      <c r="AP247" s="36"/>
      <c r="AQ247" s="36"/>
      <c r="AR247" s="36"/>
    </row>
    <row r="248" spans="42:44" x14ac:dyDescent="0.2">
      <c r="AP248" s="36"/>
      <c r="AQ248" s="36"/>
      <c r="AR248" s="36"/>
    </row>
    <row r="249" spans="42:44" x14ac:dyDescent="0.2">
      <c r="AP249" s="36"/>
      <c r="AQ249" s="36"/>
      <c r="AR249" s="36"/>
    </row>
    <row r="250" spans="42:44" x14ac:dyDescent="0.2">
      <c r="AP250" s="36"/>
      <c r="AQ250" s="36"/>
      <c r="AR250" s="36"/>
    </row>
    <row r="251" spans="42:44" x14ac:dyDescent="0.2">
      <c r="AP251" s="36"/>
      <c r="AQ251" s="36"/>
      <c r="AR251" s="36"/>
    </row>
    <row r="252" spans="42:44" x14ac:dyDescent="0.2">
      <c r="AP252" s="36"/>
      <c r="AQ252" s="36"/>
      <c r="AR252" s="36"/>
    </row>
    <row r="253" spans="42:44" x14ac:dyDescent="0.2">
      <c r="AP253" s="36"/>
      <c r="AQ253" s="36"/>
      <c r="AR253" s="36"/>
    </row>
    <row r="254" spans="42:44" x14ac:dyDescent="0.2">
      <c r="AP254" s="36"/>
      <c r="AQ254" s="36"/>
      <c r="AR254" s="36"/>
    </row>
    <row r="255" spans="42:44" x14ac:dyDescent="0.2">
      <c r="AP255" s="36"/>
      <c r="AQ255" s="36"/>
      <c r="AR255" s="36"/>
    </row>
    <row r="256" spans="42:44" x14ac:dyDescent="0.2">
      <c r="AP256" s="36"/>
      <c r="AQ256" s="36"/>
      <c r="AR256" s="36"/>
    </row>
    <row r="257" spans="42:44" x14ac:dyDescent="0.2">
      <c r="AP257" s="36"/>
      <c r="AQ257" s="36"/>
      <c r="AR257" s="36"/>
    </row>
    <row r="258" spans="42:44" x14ac:dyDescent="0.2">
      <c r="AP258" s="36"/>
      <c r="AQ258" s="36"/>
      <c r="AR258" s="36"/>
    </row>
    <row r="259" spans="42:44" x14ac:dyDescent="0.2">
      <c r="AP259" s="36"/>
      <c r="AQ259" s="36"/>
      <c r="AR259" s="36"/>
    </row>
    <row r="260" spans="42:44" x14ac:dyDescent="0.2">
      <c r="AP260" s="36"/>
      <c r="AQ260" s="36"/>
      <c r="AR260" s="36"/>
    </row>
    <row r="261" spans="42:44" x14ac:dyDescent="0.2">
      <c r="AP261" s="36"/>
      <c r="AQ261" s="36"/>
      <c r="AR261" s="36"/>
    </row>
    <row r="262" spans="42:44" x14ac:dyDescent="0.2">
      <c r="AP262" s="36"/>
      <c r="AQ262" s="36"/>
      <c r="AR262" s="36"/>
    </row>
    <row r="263" spans="42:44" x14ac:dyDescent="0.2">
      <c r="AP263" s="36"/>
      <c r="AQ263" s="36"/>
      <c r="AR263" s="36"/>
    </row>
    <row r="264" spans="42:44" x14ac:dyDescent="0.2">
      <c r="AP264" s="36"/>
      <c r="AQ264" s="36"/>
      <c r="AR264" s="36"/>
    </row>
    <row r="265" spans="42:44" x14ac:dyDescent="0.2">
      <c r="AP265" s="36"/>
      <c r="AQ265" s="36"/>
      <c r="AR265" s="36"/>
    </row>
    <row r="266" spans="42:44" x14ac:dyDescent="0.2">
      <c r="AP266" s="36"/>
      <c r="AQ266" s="36"/>
      <c r="AR266" s="36"/>
    </row>
    <row r="267" spans="42:44" x14ac:dyDescent="0.2">
      <c r="AP267" s="36"/>
      <c r="AQ267" s="36"/>
      <c r="AR267" s="36"/>
    </row>
    <row r="268" spans="42:44" x14ac:dyDescent="0.2">
      <c r="AP268" s="36"/>
      <c r="AQ268" s="36"/>
      <c r="AR268" s="36"/>
    </row>
    <row r="269" spans="42:44" x14ac:dyDescent="0.2">
      <c r="AP269" s="36"/>
      <c r="AQ269" s="36"/>
      <c r="AR269" s="36"/>
    </row>
    <row r="270" spans="42:44" x14ac:dyDescent="0.2">
      <c r="AP270" s="36"/>
      <c r="AQ270" s="36"/>
      <c r="AR270" s="36"/>
    </row>
    <row r="271" spans="42:44" x14ac:dyDescent="0.2">
      <c r="AP271" s="36"/>
      <c r="AQ271" s="36"/>
      <c r="AR271" s="36"/>
    </row>
    <row r="272" spans="42:44" x14ac:dyDescent="0.2">
      <c r="AP272" s="36"/>
      <c r="AQ272" s="36"/>
      <c r="AR272" s="36"/>
    </row>
    <row r="273" spans="42:44" x14ac:dyDescent="0.2">
      <c r="AP273" s="36"/>
      <c r="AQ273" s="36"/>
      <c r="AR273" s="36"/>
    </row>
    <row r="274" spans="42:44" x14ac:dyDescent="0.2">
      <c r="AP274" s="36"/>
      <c r="AQ274" s="36"/>
      <c r="AR274" s="36"/>
    </row>
    <row r="275" spans="42:44" x14ac:dyDescent="0.2">
      <c r="AP275" s="36"/>
      <c r="AQ275" s="36"/>
      <c r="AR275" s="36"/>
    </row>
    <row r="276" spans="42:44" x14ac:dyDescent="0.2">
      <c r="AP276" s="36"/>
      <c r="AQ276" s="36"/>
      <c r="AR276" s="36"/>
    </row>
    <row r="277" spans="42:44" x14ac:dyDescent="0.2">
      <c r="AP277" s="36"/>
      <c r="AQ277" s="36"/>
      <c r="AR277" s="36"/>
    </row>
    <row r="278" spans="42:44" x14ac:dyDescent="0.2">
      <c r="AP278" s="36"/>
      <c r="AQ278" s="36"/>
      <c r="AR278" s="36"/>
    </row>
    <row r="279" spans="42:44" x14ac:dyDescent="0.2">
      <c r="AP279" s="36"/>
      <c r="AQ279" s="36"/>
      <c r="AR279" s="36"/>
    </row>
    <row r="280" spans="42:44" x14ac:dyDescent="0.2">
      <c r="AP280" s="36"/>
      <c r="AQ280" s="36"/>
      <c r="AR280" s="36"/>
    </row>
    <row r="281" spans="42:44" x14ac:dyDescent="0.2">
      <c r="AP281" s="36"/>
      <c r="AQ281" s="36"/>
      <c r="AR281" s="36"/>
    </row>
    <row r="282" spans="42:44" x14ac:dyDescent="0.2">
      <c r="AP282" s="36"/>
      <c r="AQ282" s="36"/>
      <c r="AR282" s="36"/>
    </row>
    <row r="283" spans="42:44" x14ac:dyDescent="0.2">
      <c r="AP283" s="36"/>
      <c r="AQ283" s="36"/>
      <c r="AR283" s="36"/>
    </row>
    <row r="284" spans="42:44" x14ac:dyDescent="0.2">
      <c r="AP284" s="36"/>
      <c r="AQ284" s="36"/>
      <c r="AR284" s="36"/>
    </row>
    <row r="285" spans="42:44" x14ac:dyDescent="0.2">
      <c r="AP285" s="36"/>
      <c r="AQ285" s="36"/>
      <c r="AR285" s="36"/>
    </row>
    <row r="286" spans="42:44" x14ac:dyDescent="0.2">
      <c r="AP286" s="36"/>
      <c r="AQ286" s="36"/>
      <c r="AR286" s="36"/>
    </row>
    <row r="287" spans="42:44" x14ac:dyDescent="0.2">
      <c r="AP287" s="36"/>
      <c r="AQ287" s="36"/>
      <c r="AR287" s="36"/>
    </row>
    <row r="288" spans="42:44" x14ac:dyDescent="0.2">
      <c r="AP288" s="36"/>
      <c r="AQ288" s="36"/>
      <c r="AR288" s="36"/>
    </row>
    <row r="289" spans="42:44" x14ac:dyDescent="0.2">
      <c r="AP289" s="36"/>
      <c r="AQ289" s="36"/>
      <c r="AR289" s="36"/>
    </row>
    <row r="290" spans="42:44" x14ac:dyDescent="0.2">
      <c r="AP290" s="36"/>
      <c r="AQ290" s="36"/>
      <c r="AR290" s="36"/>
    </row>
    <row r="291" spans="42:44" x14ac:dyDescent="0.2">
      <c r="AP291" s="36"/>
      <c r="AQ291" s="36"/>
      <c r="AR291" s="36"/>
    </row>
    <row r="292" spans="42:44" x14ac:dyDescent="0.2">
      <c r="AP292" s="36"/>
      <c r="AQ292" s="36"/>
      <c r="AR292" s="36"/>
    </row>
    <row r="293" spans="42:44" x14ac:dyDescent="0.2">
      <c r="AP293" s="36"/>
      <c r="AQ293" s="36"/>
      <c r="AR293" s="36"/>
    </row>
    <row r="294" spans="42:44" x14ac:dyDescent="0.2">
      <c r="AP294" s="36"/>
      <c r="AQ294" s="36"/>
      <c r="AR294" s="36"/>
    </row>
    <row r="295" spans="42:44" x14ac:dyDescent="0.2">
      <c r="AP295" s="36"/>
      <c r="AQ295" s="36"/>
      <c r="AR295" s="36"/>
    </row>
    <row r="296" spans="42:44" x14ac:dyDescent="0.2">
      <c r="AP296" s="36"/>
      <c r="AQ296" s="36"/>
      <c r="AR296" s="36"/>
    </row>
    <row r="297" spans="42:44" x14ac:dyDescent="0.2">
      <c r="AP297" s="36"/>
      <c r="AQ297" s="36"/>
      <c r="AR297" s="36"/>
    </row>
    <row r="298" spans="42:44" x14ac:dyDescent="0.2">
      <c r="AP298" s="36"/>
      <c r="AQ298" s="36"/>
      <c r="AR298" s="36"/>
    </row>
    <row r="299" spans="42:44" x14ac:dyDescent="0.2">
      <c r="AP299" s="36"/>
      <c r="AQ299" s="36"/>
      <c r="AR299" s="36"/>
    </row>
    <row r="300" spans="42:44" x14ac:dyDescent="0.2">
      <c r="AP300" s="36"/>
      <c r="AQ300" s="36"/>
      <c r="AR300" s="36"/>
    </row>
    <row r="301" spans="42:44" x14ac:dyDescent="0.2">
      <c r="AP301" s="36"/>
      <c r="AQ301" s="36"/>
      <c r="AR301" s="36"/>
    </row>
    <row r="302" spans="42:44" x14ac:dyDescent="0.2">
      <c r="AP302" s="36"/>
      <c r="AQ302" s="36"/>
      <c r="AR302" s="36"/>
    </row>
    <row r="303" spans="42:44" x14ac:dyDescent="0.2">
      <c r="AP303" s="36"/>
      <c r="AQ303" s="36"/>
      <c r="AR303" s="36"/>
    </row>
    <row r="304" spans="42:44" x14ac:dyDescent="0.2">
      <c r="AP304" s="36"/>
      <c r="AQ304" s="36"/>
      <c r="AR304" s="36"/>
    </row>
    <row r="305" spans="42:44" x14ac:dyDescent="0.2">
      <c r="AP305" s="36"/>
      <c r="AQ305" s="36"/>
      <c r="AR305" s="36"/>
    </row>
    <row r="306" spans="42:44" x14ac:dyDescent="0.2">
      <c r="AP306" s="36"/>
      <c r="AQ306" s="36"/>
      <c r="AR306" s="36"/>
    </row>
    <row r="307" spans="42:44" x14ac:dyDescent="0.2">
      <c r="AP307" s="36"/>
      <c r="AQ307" s="36"/>
      <c r="AR307" s="36"/>
    </row>
    <row r="308" spans="42:44" x14ac:dyDescent="0.2">
      <c r="AP308" s="36"/>
      <c r="AQ308" s="36"/>
      <c r="AR308" s="36"/>
    </row>
    <row r="309" spans="42:44" x14ac:dyDescent="0.2">
      <c r="AP309" s="36"/>
      <c r="AQ309" s="36"/>
      <c r="AR309" s="36"/>
    </row>
    <row r="310" spans="42:44" x14ac:dyDescent="0.2">
      <c r="AP310" s="36"/>
      <c r="AQ310" s="36"/>
      <c r="AR310" s="36"/>
    </row>
    <row r="311" spans="42:44" x14ac:dyDescent="0.2">
      <c r="AP311" s="36"/>
      <c r="AQ311" s="36"/>
      <c r="AR311" s="36"/>
    </row>
    <row r="312" spans="42:44" x14ac:dyDescent="0.2">
      <c r="AP312" s="36"/>
      <c r="AQ312" s="36"/>
      <c r="AR312" s="36"/>
    </row>
    <row r="313" spans="42:44" x14ac:dyDescent="0.2">
      <c r="AP313" s="36"/>
      <c r="AQ313" s="36"/>
      <c r="AR313" s="36"/>
    </row>
    <row r="314" spans="42:44" x14ac:dyDescent="0.2">
      <c r="AP314" s="36"/>
      <c r="AQ314" s="36"/>
      <c r="AR314" s="36"/>
    </row>
    <row r="315" spans="42:44" x14ac:dyDescent="0.2">
      <c r="AP315" s="36"/>
      <c r="AQ315" s="36"/>
      <c r="AR315" s="36"/>
    </row>
    <row r="316" spans="42:44" x14ac:dyDescent="0.2">
      <c r="AP316" s="36"/>
      <c r="AQ316" s="36"/>
      <c r="AR316" s="36"/>
    </row>
    <row r="317" spans="42:44" x14ac:dyDescent="0.2">
      <c r="AP317" s="36"/>
      <c r="AQ317" s="36"/>
      <c r="AR317" s="36"/>
    </row>
    <row r="318" spans="42:44" x14ac:dyDescent="0.2">
      <c r="AP318" s="36"/>
      <c r="AQ318" s="36"/>
      <c r="AR318" s="36"/>
    </row>
    <row r="319" spans="42:44" x14ac:dyDescent="0.2">
      <c r="AP319" s="36"/>
      <c r="AQ319" s="36"/>
      <c r="AR319" s="36"/>
    </row>
    <row r="320" spans="42:44" x14ac:dyDescent="0.2">
      <c r="AP320" s="36"/>
      <c r="AQ320" s="36"/>
      <c r="AR320" s="36"/>
    </row>
    <row r="321" spans="42:44" x14ac:dyDescent="0.2">
      <c r="AP321" s="36"/>
      <c r="AQ321" s="36"/>
      <c r="AR321" s="36"/>
    </row>
    <row r="322" spans="42:44" x14ac:dyDescent="0.2">
      <c r="AP322" s="36"/>
      <c r="AQ322" s="36"/>
      <c r="AR322" s="36"/>
    </row>
    <row r="323" spans="42:44" x14ac:dyDescent="0.2">
      <c r="AP323" s="36"/>
      <c r="AQ323" s="36"/>
      <c r="AR323" s="36"/>
    </row>
    <row r="324" spans="42:44" x14ac:dyDescent="0.2">
      <c r="AP324" s="36"/>
      <c r="AQ324" s="36"/>
      <c r="AR324" s="36"/>
    </row>
    <row r="325" spans="42:44" x14ac:dyDescent="0.2">
      <c r="AP325" s="36"/>
      <c r="AQ325" s="36"/>
      <c r="AR325" s="36"/>
    </row>
    <row r="326" spans="42:44" x14ac:dyDescent="0.2">
      <c r="AP326" s="36"/>
      <c r="AQ326" s="36"/>
      <c r="AR326" s="36"/>
    </row>
    <row r="327" spans="42:44" x14ac:dyDescent="0.2">
      <c r="AP327" s="36"/>
      <c r="AQ327" s="36"/>
      <c r="AR327" s="36"/>
    </row>
    <row r="328" spans="42:44" x14ac:dyDescent="0.2">
      <c r="AP328" s="36"/>
      <c r="AQ328" s="36"/>
      <c r="AR328" s="36"/>
    </row>
    <row r="329" spans="42:44" x14ac:dyDescent="0.2">
      <c r="AP329" s="36"/>
      <c r="AQ329" s="36"/>
      <c r="AR329" s="36"/>
    </row>
    <row r="330" spans="42:44" x14ac:dyDescent="0.2">
      <c r="AP330" s="36"/>
      <c r="AQ330" s="36"/>
      <c r="AR330" s="36"/>
    </row>
    <row r="331" spans="42:44" x14ac:dyDescent="0.2">
      <c r="AP331" s="36"/>
      <c r="AQ331" s="36"/>
      <c r="AR331" s="36"/>
    </row>
    <row r="332" spans="42:44" x14ac:dyDescent="0.2">
      <c r="AP332" s="36"/>
      <c r="AQ332" s="36"/>
      <c r="AR332" s="36"/>
    </row>
    <row r="333" spans="42:44" x14ac:dyDescent="0.2">
      <c r="AP333" s="36"/>
      <c r="AQ333" s="36"/>
      <c r="AR333" s="36"/>
    </row>
    <row r="334" spans="42:44" x14ac:dyDescent="0.2">
      <c r="AP334" s="36"/>
      <c r="AQ334" s="36"/>
      <c r="AR334" s="36"/>
    </row>
    <row r="335" spans="42:44" x14ac:dyDescent="0.2">
      <c r="AP335" s="36"/>
      <c r="AQ335" s="36"/>
      <c r="AR335" s="36"/>
    </row>
    <row r="336" spans="42:44" x14ac:dyDescent="0.2">
      <c r="AP336" s="36"/>
      <c r="AQ336" s="36"/>
      <c r="AR336" s="36"/>
    </row>
    <row r="337" spans="42:44" x14ac:dyDescent="0.2">
      <c r="AP337" s="36"/>
      <c r="AQ337" s="36"/>
      <c r="AR337" s="36"/>
    </row>
    <row r="338" spans="42:44" x14ac:dyDescent="0.2">
      <c r="AP338" s="36"/>
      <c r="AQ338" s="36"/>
      <c r="AR338" s="36"/>
    </row>
    <row r="339" spans="42:44" x14ac:dyDescent="0.2">
      <c r="AP339" s="36"/>
      <c r="AQ339" s="36"/>
      <c r="AR339" s="36"/>
    </row>
    <row r="340" spans="42:44" x14ac:dyDescent="0.2">
      <c r="AP340" s="36"/>
      <c r="AQ340" s="36"/>
      <c r="AR340" s="36"/>
    </row>
    <row r="341" spans="42:44" x14ac:dyDescent="0.2">
      <c r="AP341" s="36"/>
      <c r="AQ341" s="36"/>
      <c r="AR341" s="36"/>
    </row>
    <row r="342" spans="42:44" x14ac:dyDescent="0.2">
      <c r="AP342" s="36"/>
      <c r="AQ342" s="36"/>
      <c r="AR342" s="36"/>
    </row>
    <row r="343" spans="42:44" x14ac:dyDescent="0.2">
      <c r="AP343" s="36"/>
      <c r="AQ343" s="36"/>
      <c r="AR343" s="36"/>
    </row>
    <row r="344" spans="42:44" x14ac:dyDescent="0.2">
      <c r="AP344" s="36"/>
      <c r="AQ344" s="36"/>
      <c r="AR344" s="36"/>
    </row>
    <row r="345" spans="42:44" x14ac:dyDescent="0.2">
      <c r="AP345" s="36"/>
      <c r="AQ345" s="36"/>
      <c r="AR345" s="36"/>
    </row>
    <row r="346" spans="42:44" x14ac:dyDescent="0.2">
      <c r="AP346" s="36"/>
      <c r="AQ346" s="36"/>
      <c r="AR346" s="36"/>
    </row>
    <row r="347" spans="42:44" x14ac:dyDescent="0.2">
      <c r="AP347" s="36"/>
      <c r="AQ347" s="36"/>
      <c r="AR347" s="36"/>
    </row>
    <row r="348" spans="42:44" x14ac:dyDescent="0.2">
      <c r="AP348" s="36"/>
      <c r="AQ348" s="36"/>
      <c r="AR348" s="36"/>
    </row>
    <row r="349" spans="42:44" x14ac:dyDescent="0.2">
      <c r="AP349" s="36"/>
      <c r="AQ349" s="36"/>
      <c r="AR349" s="36"/>
    </row>
    <row r="350" spans="42:44" x14ac:dyDescent="0.2">
      <c r="AP350" s="36"/>
      <c r="AQ350" s="36"/>
      <c r="AR350" s="36"/>
    </row>
    <row r="351" spans="42:44" x14ac:dyDescent="0.2">
      <c r="AP351" s="36"/>
      <c r="AQ351" s="36"/>
      <c r="AR351" s="36"/>
    </row>
    <row r="352" spans="42:44" x14ac:dyDescent="0.2">
      <c r="AP352" s="36"/>
      <c r="AQ352" s="36"/>
      <c r="AR352" s="36"/>
    </row>
    <row r="353" spans="42:44" x14ac:dyDescent="0.2">
      <c r="AP353" s="36"/>
      <c r="AQ353" s="36"/>
      <c r="AR353" s="36"/>
    </row>
    <row r="354" spans="42:44" x14ac:dyDescent="0.2">
      <c r="AP354" s="36"/>
      <c r="AQ354" s="36"/>
      <c r="AR354" s="36"/>
    </row>
    <row r="355" spans="42:44" x14ac:dyDescent="0.2">
      <c r="AP355" s="36"/>
      <c r="AQ355" s="36"/>
      <c r="AR355" s="36"/>
    </row>
    <row r="356" spans="42:44" x14ac:dyDescent="0.2">
      <c r="AP356" s="36"/>
      <c r="AQ356" s="36"/>
      <c r="AR356" s="36"/>
    </row>
    <row r="357" spans="42:44" x14ac:dyDescent="0.2">
      <c r="AP357" s="36"/>
      <c r="AQ357" s="36"/>
      <c r="AR357" s="36"/>
    </row>
    <row r="358" spans="42:44" x14ac:dyDescent="0.2">
      <c r="AP358" s="36"/>
      <c r="AQ358" s="36"/>
      <c r="AR358" s="36"/>
    </row>
    <row r="359" spans="42:44" x14ac:dyDescent="0.2">
      <c r="AP359" s="36"/>
      <c r="AQ359" s="36"/>
      <c r="AR359" s="36"/>
    </row>
    <row r="360" spans="42:44" x14ac:dyDescent="0.2">
      <c r="AP360" s="36"/>
      <c r="AQ360" s="36"/>
      <c r="AR360" s="36"/>
    </row>
    <row r="361" spans="42:44" x14ac:dyDescent="0.2">
      <c r="AP361" s="36"/>
      <c r="AQ361" s="36"/>
      <c r="AR361" s="36"/>
    </row>
  </sheetData>
  <sheetProtection algorithmName="SHA-512" hashValue="GcSmqyPQqcZ6qhU9PSo/bVY+2CvBjblzdLiF3YBWH+QnmolNcrHxVd6v8LVkeg3BKopvwvsg/m9gNj1fihOJuw==" saltValue="SLvcy1WdKAow+mG6hNi+Qg==" spinCount="100000" sheet="1" objects="1" scenarios="1"/>
  <mergeCells count="16">
    <mergeCell ref="A4:A5"/>
    <mergeCell ref="B4:D4"/>
    <mergeCell ref="A21:A22"/>
    <mergeCell ref="B23:B27"/>
    <mergeCell ref="C23:C27"/>
    <mergeCell ref="D23:D27"/>
    <mergeCell ref="B20:J20"/>
    <mergeCell ref="I24:I26"/>
    <mergeCell ref="J24:J26"/>
    <mergeCell ref="E24:E27"/>
    <mergeCell ref="G24:G27"/>
    <mergeCell ref="H24:H26"/>
    <mergeCell ref="B21:D21"/>
    <mergeCell ref="E21:G21"/>
    <mergeCell ref="F24:F27"/>
    <mergeCell ref="H21:J21"/>
  </mergeCells>
  <pageMargins left="0.75" right="0.75" top="1" bottom="1" header="0.5" footer="0.5"/>
  <pageSetup paperSize="9"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'Modelled burden estimates'!$A$3:$A$143</xm:f>
          </x14:formula1>
          <xm:sqref>C19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43"/>
  <sheetViews>
    <sheetView workbookViewId="0"/>
  </sheetViews>
  <sheetFormatPr baseColWidth="10" defaultRowHeight="16" x14ac:dyDescent="0.2"/>
  <cols>
    <col min="1" max="1" width="16.5" customWidth="1"/>
    <col min="5" max="5" width="15.1640625" bestFit="1" customWidth="1"/>
    <col min="6" max="8" width="9.1640625" bestFit="1" customWidth="1"/>
    <col min="9" max="11" width="10.1640625" bestFit="1" customWidth="1"/>
    <col min="12" max="12" width="10.83203125" bestFit="1" customWidth="1"/>
    <col min="13" max="13" width="14.83203125" bestFit="1" customWidth="1"/>
    <col min="14" max="14" width="15.33203125" bestFit="1" customWidth="1"/>
    <col min="15" max="15" width="12.1640625" bestFit="1" customWidth="1"/>
    <col min="16" max="16" width="16.1640625" bestFit="1" customWidth="1"/>
    <col min="17" max="17" width="16.6640625" bestFit="1" customWidth="1"/>
  </cols>
  <sheetData>
    <row r="1" spans="1:24" x14ac:dyDescent="0.2">
      <c r="F1" s="150" t="s">
        <v>268</v>
      </c>
      <c r="G1" s="150"/>
      <c r="H1" s="150"/>
      <c r="I1" s="150"/>
      <c r="J1" s="150"/>
      <c r="K1" s="150"/>
      <c r="L1" s="150" t="s">
        <v>269</v>
      </c>
      <c r="M1" s="150"/>
      <c r="N1" s="150"/>
      <c r="O1" s="150"/>
      <c r="P1" s="150"/>
      <c r="Q1" s="150"/>
      <c r="R1" s="150" t="s">
        <v>425</v>
      </c>
      <c r="S1" s="150"/>
      <c r="T1" s="150"/>
      <c r="U1" s="150"/>
      <c r="V1" s="150"/>
      <c r="W1" s="150"/>
      <c r="X1" s="150"/>
    </row>
    <row r="2" spans="1:24" x14ac:dyDescent="0.2">
      <c r="A2" t="s">
        <v>114</v>
      </c>
      <c r="B2" t="s">
        <v>273</v>
      </c>
      <c r="C2" t="s">
        <v>115</v>
      </c>
      <c r="D2" t="s">
        <v>126</v>
      </c>
      <c r="E2" t="s">
        <v>125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  <c r="K2" t="s">
        <v>121</v>
      </c>
      <c r="L2" t="s">
        <v>436</v>
      </c>
      <c r="M2" t="s">
        <v>438</v>
      </c>
      <c r="N2" t="s">
        <v>437</v>
      </c>
      <c r="O2" t="s">
        <v>122</v>
      </c>
      <c r="P2" t="s">
        <v>123</v>
      </c>
      <c r="Q2" t="s">
        <v>124</v>
      </c>
      <c r="R2" t="s">
        <v>563</v>
      </c>
      <c r="S2" t="s">
        <v>564</v>
      </c>
      <c r="T2" t="s">
        <v>565</v>
      </c>
      <c r="U2" t="s">
        <v>566</v>
      </c>
      <c r="V2" t="s">
        <v>567</v>
      </c>
      <c r="W2" t="s">
        <v>568</v>
      </c>
      <c r="X2" t="s">
        <v>570</v>
      </c>
    </row>
    <row r="3" spans="1:24" x14ac:dyDescent="0.2">
      <c r="A3" s="52" t="s">
        <v>270</v>
      </c>
      <c r="B3" t="s">
        <v>282</v>
      </c>
      <c r="C3">
        <v>888</v>
      </c>
      <c r="D3">
        <v>888</v>
      </c>
      <c r="E3" t="s">
        <v>94</v>
      </c>
      <c r="F3" t="s">
        <v>94</v>
      </c>
      <c r="G3" t="s">
        <v>94</v>
      </c>
      <c r="H3" t="s">
        <v>94</v>
      </c>
      <c r="I3" t="s">
        <v>94</v>
      </c>
      <c r="J3" t="s">
        <v>94</v>
      </c>
      <c r="K3" t="s">
        <v>94</v>
      </c>
      <c r="L3" t="s">
        <v>94</v>
      </c>
      <c r="M3" t="s">
        <v>94</v>
      </c>
      <c r="N3" t="s">
        <v>94</v>
      </c>
      <c r="O3" t="s">
        <v>94</v>
      </c>
      <c r="P3" t="s">
        <v>94</v>
      </c>
      <c r="Q3" t="s">
        <v>94</v>
      </c>
      <c r="R3" t="s">
        <v>94</v>
      </c>
      <c r="S3" t="s">
        <v>94</v>
      </c>
      <c r="T3" t="s">
        <v>94</v>
      </c>
      <c r="U3" s="87" t="s">
        <v>94</v>
      </c>
      <c r="V3" s="87" t="s">
        <v>94</v>
      </c>
      <c r="W3" s="87" t="s">
        <v>94</v>
      </c>
      <c r="X3" s="87" t="s">
        <v>94</v>
      </c>
    </row>
    <row r="4" spans="1:24" x14ac:dyDescent="0.2">
      <c r="A4" t="s">
        <v>265</v>
      </c>
      <c r="B4" t="s">
        <v>274</v>
      </c>
      <c r="C4">
        <v>1011446</v>
      </c>
      <c r="D4">
        <v>3</v>
      </c>
      <c r="E4">
        <v>27973447</v>
      </c>
      <c r="F4">
        <v>81687</v>
      </c>
      <c r="G4">
        <v>36803</v>
      </c>
      <c r="H4">
        <v>138574</v>
      </c>
      <c r="I4">
        <v>255681</v>
      </c>
      <c r="J4">
        <v>128224</v>
      </c>
      <c r="K4">
        <v>399333</v>
      </c>
      <c r="L4">
        <v>119161.457629</v>
      </c>
      <c r="M4">
        <v>48359.751310899999</v>
      </c>
      <c r="N4">
        <v>235661.52358000001</v>
      </c>
      <c r="O4">
        <v>0.25649238297499999</v>
      </c>
      <c r="P4">
        <v>5.4154572404999997E-2</v>
      </c>
      <c r="Q4">
        <v>0.65748742845200003</v>
      </c>
      <c r="R4">
        <v>44.242485000000002</v>
      </c>
      <c r="S4">
        <v>12.008848</v>
      </c>
      <c r="T4">
        <v>111.24133</v>
      </c>
      <c r="U4">
        <v>104389.8</v>
      </c>
      <c r="V4">
        <v>32905.012000000002</v>
      </c>
      <c r="W4">
        <v>244637.31</v>
      </c>
      <c r="X4">
        <v>61005</v>
      </c>
    </row>
    <row r="5" spans="1:24" x14ac:dyDescent="0.2">
      <c r="A5" t="s">
        <v>127</v>
      </c>
      <c r="B5" t="s">
        <v>275</v>
      </c>
      <c r="C5">
        <v>5</v>
      </c>
      <c r="D5">
        <v>4</v>
      </c>
      <c r="E5" t="s">
        <v>128</v>
      </c>
      <c r="F5">
        <v>2414</v>
      </c>
      <c r="G5">
        <v>935</v>
      </c>
      <c r="H5">
        <v>4883</v>
      </c>
      <c r="I5">
        <v>7316</v>
      </c>
      <c r="J5">
        <v>3421</v>
      </c>
      <c r="K5">
        <v>13350</v>
      </c>
      <c r="L5">
        <v>2192.3629085100001</v>
      </c>
      <c r="M5">
        <v>1364.0710733200001</v>
      </c>
      <c r="N5">
        <v>3261.6426289599999</v>
      </c>
      <c r="O5">
        <v>0.23779996724800001</v>
      </c>
      <c r="P5">
        <v>7.8982197241599994E-2</v>
      </c>
      <c r="Q5">
        <v>0.43025280662799997</v>
      </c>
      <c r="R5">
        <v>0.22513517999999999</v>
      </c>
      <c r="S5">
        <v>8.1188016000000002E-2</v>
      </c>
      <c r="T5">
        <v>0.51174092000000004</v>
      </c>
      <c r="U5">
        <v>531.35357999999997</v>
      </c>
      <c r="V5">
        <v>227.56799000000001</v>
      </c>
      <c r="W5">
        <v>1069.3490999999999</v>
      </c>
      <c r="X5">
        <v>398</v>
      </c>
    </row>
    <row r="6" spans="1:24" x14ac:dyDescent="0.2">
      <c r="A6" t="s">
        <v>129</v>
      </c>
      <c r="B6" t="s">
        <v>276</v>
      </c>
      <c r="C6">
        <v>8</v>
      </c>
      <c r="D6">
        <v>2</v>
      </c>
      <c r="E6">
        <v>21024619</v>
      </c>
      <c r="F6">
        <v>292178</v>
      </c>
      <c r="G6">
        <v>196712</v>
      </c>
      <c r="H6">
        <v>419141</v>
      </c>
      <c r="I6">
        <v>896115</v>
      </c>
      <c r="J6">
        <v>643138</v>
      </c>
      <c r="K6">
        <v>1210316</v>
      </c>
      <c r="L6">
        <v>113812.576036</v>
      </c>
      <c r="M6">
        <v>51688.576560200003</v>
      </c>
      <c r="N6">
        <v>208943.41584599999</v>
      </c>
      <c r="O6">
        <v>2.6599458146299999</v>
      </c>
      <c r="P6">
        <v>0.206148453442</v>
      </c>
      <c r="Q6">
        <v>8.9928264592599998</v>
      </c>
      <c r="R6">
        <v>40.997517000000002</v>
      </c>
      <c r="S6">
        <v>12.325334</v>
      </c>
      <c r="T6">
        <v>100.15537999999999</v>
      </c>
      <c r="U6">
        <v>96746.726999999999</v>
      </c>
      <c r="V6">
        <v>34022.18</v>
      </c>
      <c r="W6">
        <v>216862.2</v>
      </c>
      <c r="X6">
        <v>48213</v>
      </c>
    </row>
    <row r="7" spans="1:24" x14ac:dyDescent="0.2">
      <c r="A7" t="s">
        <v>130</v>
      </c>
      <c r="B7" t="s">
        <v>277</v>
      </c>
      <c r="C7">
        <v>9</v>
      </c>
      <c r="D7">
        <v>1</v>
      </c>
      <c r="E7" t="s">
        <v>128</v>
      </c>
      <c r="F7">
        <v>519</v>
      </c>
      <c r="G7">
        <v>216</v>
      </c>
      <c r="H7">
        <v>1006</v>
      </c>
      <c r="I7">
        <v>1571</v>
      </c>
      <c r="J7">
        <v>770</v>
      </c>
      <c r="K7">
        <v>2767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0.10799387000000001</v>
      </c>
      <c r="S7">
        <v>3.2707155000000002E-2</v>
      </c>
      <c r="T7">
        <v>0.26346844000000003</v>
      </c>
      <c r="U7">
        <v>254.77968999999999</v>
      </c>
      <c r="V7">
        <v>90.715736000000007</v>
      </c>
      <c r="W7">
        <v>596.80029000000002</v>
      </c>
      <c r="X7">
        <v>190</v>
      </c>
    </row>
    <row r="8" spans="1:24" x14ac:dyDescent="0.2">
      <c r="A8" t="s">
        <v>131</v>
      </c>
      <c r="B8" t="s">
        <v>278</v>
      </c>
      <c r="C8">
        <v>11</v>
      </c>
      <c r="D8">
        <v>1</v>
      </c>
      <c r="E8">
        <v>87337.417969999995</v>
      </c>
      <c r="F8">
        <v>3226</v>
      </c>
      <c r="G8">
        <v>1592</v>
      </c>
      <c r="H8">
        <v>5800</v>
      </c>
      <c r="I8">
        <v>9739</v>
      </c>
      <c r="J8">
        <v>5467</v>
      </c>
      <c r="K8">
        <v>16031</v>
      </c>
      <c r="L8">
        <v>3476.6563652999998</v>
      </c>
      <c r="M8">
        <v>2237.7423396499998</v>
      </c>
      <c r="N8">
        <v>5045.7740075000002</v>
      </c>
      <c r="O8">
        <v>0.247616822101</v>
      </c>
      <c r="P8">
        <v>0.159711074472</v>
      </c>
      <c r="Q8">
        <v>0.34788659069200001</v>
      </c>
      <c r="R8">
        <v>0.2623857</v>
      </c>
      <c r="S8">
        <v>3.7927408000000003E-2</v>
      </c>
      <c r="T8">
        <v>0.89833814000000001</v>
      </c>
      <c r="U8">
        <v>618.15752999999995</v>
      </c>
      <c r="V8">
        <v>102.97967</v>
      </c>
      <c r="W8">
        <v>2061.2654000000002</v>
      </c>
      <c r="X8">
        <v>463</v>
      </c>
    </row>
    <row r="9" spans="1:24" x14ac:dyDescent="0.2">
      <c r="A9" t="s">
        <v>132</v>
      </c>
      <c r="B9" t="s">
        <v>279</v>
      </c>
      <c r="C9">
        <v>12</v>
      </c>
      <c r="D9">
        <v>1</v>
      </c>
      <c r="E9">
        <v>40976990</v>
      </c>
      <c r="F9">
        <v>254470</v>
      </c>
      <c r="G9">
        <v>162631</v>
      </c>
      <c r="H9">
        <v>370798</v>
      </c>
      <c r="I9">
        <v>787499</v>
      </c>
      <c r="J9">
        <v>532735</v>
      </c>
      <c r="K9">
        <v>1082768</v>
      </c>
      <c r="L9">
        <v>209191.91924399999</v>
      </c>
      <c r="M9">
        <v>84375.232014900001</v>
      </c>
      <c r="N9">
        <v>415461.21986700001</v>
      </c>
      <c r="O9">
        <v>0.40550593223999998</v>
      </c>
      <c r="P9">
        <v>0.23239766188200001</v>
      </c>
      <c r="Q9">
        <v>0.61139118963899997</v>
      </c>
      <c r="R9">
        <v>64.070914999999999</v>
      </c>
      <c r="S9">
        <v>17.803837000000001</v>
      </c>
      <c r="T9">
        <v>159.25092000000001</v>
      </c>
      <c r="U9">
        <v>151180.78</v>
      </c>
      <c r="V9">
        <v>49145.065999999999</v>
      </c>
      <c r="W9">
        <v>351777.38</v>
      </c>
      <c r="X9">
        <v>112532</v>
      </c>
    </row>
    <row r="10" spans="1:24" x14ac:dyDescent="0.2">
      <c r="A10" t="s">
        <v>133</v>
      </c>
      <c r="B10" t="s">
        <v>280</v>
      </c>
      <c r="C10">
        <v>14</v>
      </c>
      <c r="D10">
        <v>1</v>
      </c>
      <c r="E10" t="s">
        <v>128</v>
      </c>
      <c r="F10">
        <v>3165</v>
      </c>
      <c r="G10">
        <v>1451</v>
      </c>
      <c r="H10">
        <v>5820</v>
      </c>
      <c r="I10">
        <v>9715</v>
      </c>
      <c r="J10">
        <v>5174</v>
      </c>
      <c r="K10">
        <v>16299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0.69089626999999998</v>
      </c>
      <c r="S10">
        <v>0.20924570000000001</v>
      </c>
      <c r="T10">
        <v>1.6855526999999999</v>
      </c>
      <c r="U10">
        <v>1629.9658999999999</v>
      </c>
      <c r="V10">
        <v>580.35852</v>
      </c>
      <c r="W10">
        <v>3818.0601000000001</v>
      </c>
      <c r="X10">
        <v>1208</v>
      </c>
    </row>
    <row r="11" spans="1:24" x14ac:dyDescent="0.2">
      <c r="A11" t="s">
        <v>134</v>
      </c>
      <c r="B11" t="s">
        <v>283</v>
      </c>
      <c r="C11">
        <v>20</v>
      </c>
      <c r="D11">
        <v>1</v>
      </c>
      <c r="E11">
        <v>360051.79690000002</v>
      </c>
      <c r="F11">
        <v>10971</v>
      </c>
      <c r="G11">
        <v>6306</v>
      </c>
      <c r="H11">
        <v>18003</v>
      </c>
      <c r="I11">
        <v>33335</v>
      </c>
      <c r="J11">
        <v>21183</v>
      </c>
      <c r="K11">
        <v>50405</v>
      </c>
      <c r="L11">
        <v>11843.51398</v>
      </c>
      <c r="M11">
        <v>7956.5042458400003</v>
      </c>
      <c r="N11">
        <v>16655.338646100001</v>
      </c>
      <c r="O11">
        <v>1.0123951147600001</v>
      </c>
      <c r="P11">
        <v>0.46623124344</v>
      </c>
      <c r="Q11">
        <v>1.5763506893599999</v>
      </c>
      <c r="R11">
        <v>0.87109791999999997</v>
      </c>
      <c r="S11">
        <v>0.13325176</v>
      </c>
      <c r="T11">
        <v>2.9040089</v>
      </c>
      <c r="U11">
        <v>2052.5769</v>
      </c>
      <c r="V11">
        <v>364.95602000000002</v>
      </c>
      <c r="W11">
        <v>6675.3837999999996</v>
      </c>
      <c r="X11">
        <v>1533</v>
      </c>
    </row>
    <row r="12" spans="1:24" x14ac:dyDescent="0.2">
      <c r="A12" t="s">
        <v>135</v>
      </c>
      <c r="B12" t="s">
        <v>284</v>
      </c>
      <c r="C12">
        <v>23</v>
      </c>
      <c r="D12">
        <v>3</v>
      </c>
      <c r="E12">
        <v>151267824</v>
      </c>
      <c r="F12">
        <v>4097833</v>
      </c>
      <c r="G12">
        <v>2952879</v>
      </c>
      <c r="H12">
        <v>5608456</v>
      </c>
      <c r="I12">
        <v>12581091</v>
      </c>
      <c r="J12">
        <v>9519133</v>
      </c>
      <c r="K12">
        <v>16359636</v>
      </c>
      <c r="L12">
        <v>3753295.74229</v>
      </c>
      <c r="M12">
        <v>2484880.9354300001</v>
      </c>
      <c r="N12">
        <v>5334200.0030899998</v>
      </c>
      <c r="O12">
        <v>1094.6550313299999</v>
      </c>
      <c r="P12">
        <v>141.936719952</v>
      </c>
      <c r="Q12">
        <v>2769.6364940100002</v>
      </c>
      <c r="R12">
        <v>1058.1276</v>
      </c>
      <c r="S12">
        <v>386.43230999999997</v>
      </c>
      <c r="T12">
        <v>2378.5790999999999</v>
      </c>
      <c r="U12">
        <v>2497355</v>
      </c>
      <c r="V12">
        <v>1087272.8</v>
      </c>
      <c r="W12">
        <v>4979256</v>
      </c>
      <c r="X12">
        <v>945184</v>
      </c>
    </row>
    <row r="13" spans="1:24" x14ac:dyDescent="0.2">
      <c r="A13" t="s">
        <v>136</v>
      </c>
      <c r="B13" t="s">
        <v>285</v>
      </c>
      <c r="C13">
        <v>24</v>
      </c>
      <c r="D13">
        <v>1</v>
      </c>
      <c r="E13">
        <v>279593.53129999997</v>
      </c>
      <c r="F13">
        <v>9398</v>
      </c>
      <c r="G13">
        <v>4753</v>
      </c>
      <c r="H13">
        <v>16653</v>
      </c>
      <c r="I13">
        <v>28343</v>
      </c>
      <c r="J13">
        <v>16213</v>
      </c>
      <c r="K13">
        <v>46077</v>
      </c>
      <c r="L13">
        <v>11838.8353788</v>
      </c>
      <c r="M13">
        <v>7420.5139725600002</v>
      </c>
      <c r="N13">
        <v>17519.165846799999</v>
      </c>
      <c r="O13">
        <v>4.6328282706700001</v>
      </c>
      <c r="P13">
        <v>2.6777610884900001</v>
      </c>
      <c r="Q13">
        <v>6.5827067179899998</v>
      </c>
      <c r="R13">
        <v>0.80003822000000002</v>
      </c>
      <c r="S13">
        <v>0.11670922</v>
      </c>
      <c r="T13">
        <v>2.7274904000000002</v>
      </c>
      <c r="U13">
        <v>1884.8715</v>
      </c>
      <c r="V13">
        <v>317.32990000000001</v>
      </c>
      <c r="W13">
        <v>6271.3662000000004</v>
      </c>
      <c r="X13">
        <v>1412</v>
      </c>
    </row>
    <row r="14" spans="1:24" x14ac:dyDescent="0.2">
      <c r="A14" t="s">
        <v>137</v>
      </c>
      <c r="B14" t="s">
        <v>286</v>
      </c>
      <c r="C14">
        <v>28</v>
      </c>
      <c r="D14">
        <v>1</v>
      </c>
      <c r="E14">
        <v>320056.53120000003</v>
      </c>
      <c r="F14">
        <v>9128</v>
      </c>
      <c r="G14">
        <v>6208</v>
      </c>
      <c r="H14">
        <v>13270</v>
      </c>
      <c r="I14">
        <v>27878</v>
      </c>
      <c r="J14">
        <v>20264</v>
      </c>
      <c r="K14">
        <v>38061</v>
      </c>
      <c r="L14">
        <v>12718.105046000001</v>
      </c>
      <c r="M14">
        <v>8669.6755094599994</v>
      </c>
      <c r="N14">
        <v>17724.5065607</v>
      </c>
      <c r="O14">
        <v>0.73528850248599997</v>
      </c>
      <c r="P14">
        <v>0.42335544388000002</v>
      </c>
      <c r="Q14">
        <v>1.0620609272399999</v>
      </c>
      <c r="R14">
        <v>2.4393866000000002</v>
      </c>
      <c r="S14">
        <v>0.88614820999999999</v>
      </c>
      <c r="T14">
        <v>5.5103331000000004</v>
      </c>
      <c r="U14">
        <v>5757.3437999999996</v>
      </c>
      <c r="V14">
        <v>2486.1242999999999</v>
      </c>
      <c r="W14">
        <v>11519.767</v>
      </c>
      <c r="X14">
        <v>4236</v>
      </c>
    </row>
    <row r="15" spans="1:24" x14ac:dyDescent="0.2">
      <c r="A15" t="s">
        <v>138</v>
      </c>
      <c r="B15" t="s">
        <v>287</v>
      </c>
      <c r="C15">
        <v>29</v>
      </c>
      <c r="D15">
        <v>2</v>
      </c>
      <c r="E15">
        <v>9561744.5</v>
      </c>
      <c r="F15">
        <v>213030</v>
      </c>
      <c r="G15">
        <v>143875</v>
      </c>
      <c r="H15">
        <v>311527</v>
      </c>
      <c r="I15">
        <v>651489</v>
      </c>
      <c r="J15">
        <v>469940</v>
      </c>
      <c r="K15">
        <v>894900</v>
      </c>
      <c r="L15">
        <v>124144.615145</v>
      </c>
      <c r="M15">
        <v>81502.851760599995</v>
      </c>
      <c r="N15">
        <v>177560.925059</v>
      </c>
      <c r="O15">
        <v>4.4750488500700003</v>
      </c>
      <c r="P15">
        <v>0.30620681050699999</v>
      </c>
      <c r="Q15">
        <v>17.855872283899998</v>
      </c>
      <c r="R15">
        <v>48.429146000000003</v>
      </c>
      <c r="S15">
        <v>17.657564000000001</v>
      </c>
      <c r="T15">
        <v>109.02789</v>
      </c>
      <c r="U15">
        <v>114300.7</v>
      </c>
      <c r="V15">
        <v>49637.633000000002</v>
      </c>
      <c r="W15">
        <v>228143.25</v>
      </c>
      <c r="X15">
        <v>41493</v>
      </c>
    </row>
    <row r="16" spans="1:24" x14ac:dyDescent="0.2">
      <c r="A16" t="s">
        <v>139</v>
      </c>
      <c r="B16" t="s">
        <v>288</v>
      </c>
      <c r="C16">
        <v>31</v>
      </c>
      <c r="D16">
        <v>3</v>
      </c>
      <c r="E16">
        <v>717982.81259999995</v>
      </c>
      <c r="F16">
        <v>4793</v>
      </c>
      <c r="G16">
        <v>2109</v>
      </c>
      <c r="H16">
        <v>7946</v>
      </c>
      <c r="I16">
        <v>15042</v>
      </c>
      <c r="J16">
        <v>7343</v>
      </c>
      <c r="K16">
        <v>23177</v>
      </c>
      <c r="L16">
        <v>5037.1014087100002</v>
      </c>
      <c r="M16">
        <v>2696.55715448</v>
      </c>
      <c r="N16">
        <v>8331.2919319699995</v>
      </c>
      <c r="O16">
        <v>1.9603460930800001</v>
      </c>
      <c r="P16">
        <v>0.133976663558</v>
      </c>
      <c r="Q16">
        <v>10.454829011499999</v>
      </c>
      <c r="R16">
        <v>7.0683889000000004</v>
      </c>
      <c r="S16">
        <v>0.60236984000000005</v>
      </c>
      <c r="T16">
        <v>27.556077999999999</v>
      </c>
      <c r="U16">
        <v>2931.8971999999999</v>
      </c>
      <c r="V16">
        <v>978.58367999999996</v>
      </c>
      <c r="W16">
        <v>6774.2622000000001</v>
      </c>
      <c r="X16">
        <v>2001</v>
      </c>
    </row>
    <row r="17" spans="1:24" x14ac:dyDescent="0.2">
      <c r="A17" t="s">
        <v>140</v>
      </c>
      <c r="B17" t="s">
        <v>289</v>
      </c>
      <c r="C17">
        <v>33</v>
      </c>
      <c r="D17">
        <v>1</v>
      </c>
      <c r="E17">
        <v>10011390.5</v>
      </c>
      <c r="F17">
        <v>181219</v>
      </c>
      <c r="G17">
        <v>122119</v>
      </c>
      <c r="H17">
        <v>260474</v>
      </c>
      <c r="I17">
        <v>555702</v>
      </c>
      <c r="J17">
        <v>399308</v>
      </c>
      <c r="K17">
        <v>751368</v>
      </c>
      <c r="L17">
        <v>94159.708417700007</v>
      </c>
      <c r="M17">
        <v>52583.153289000002</v>
      </c>
      <c r="N17">
        <v>151382.04168699999</v>
      </c>
      <c r="O17">
        <v>17.157427394300001</v>
      </c>
      <c r="P17">
        <v>1.9761254267399999</v>
      </c>
      <c r="Q17">
        <v>42.219269779299999</v>
      </c>
      <c r="R17">
        <v>19.036348</v>
      </c>
      <c r="S17">
        <v>0.83792233000000005</v>
      </c>
      <c r="T17">
        <v>90.254058999999998</v>
      </c>
      <c r="U17">
        <v>33358.538999999997</v>
      </c>
      <c r="V17">
        <v>10067.516</v>
      </c>
      <c r="W17">
        <v>79940.695000000007</v>
      </c>
      <c r="X17">
        <v>20782</v>
      </c>
    </row>
    <row r="18" spans="1:24" x14ac:dyDescent="0.2">
      <c r="A18" t="s">
        <v>141</v>
      </c>
      <c r="B18" t="s">
        <v>290</v>
      </c>
      <c r="C18">
        <v>37</v>
      </c>
      <c r="D18">
        <v>1</v>
      </c>
      <c r="E18">
        <v>198694736</v>
      </c>
      <c r="F18">
        <v>5371268</v>
      </c>
      <c r="G18">
        <v>3952287</v>
      </c>
      <c r="H18">
        <v>7283317</v>
      </c>
      <c r="I18">
        <v>16404160</v>
      </c>
      <c r="J18">
        <v>12672363</v>
      </c>
      <c r="K18">
        <v>21111729</v>
      </c>
      <c r="L18">
        <v>4617388.3940599998</v>
      </c>
      <c r="M18">
        <v>3112432.6229099999</v>
      </c>
      <c r="N18">
        <v>6487041.8386399997</v>
      </c>
      <c r="O18">
        <v>1193.08679669</v>
      </c>
      <c r="P18">
        <v>812.23810552299994</v>
      </c>
      <c r="Q18">
        <v>1505.15230107</v>
      </c>
      <c r="R18">
        <v>359.75792999999999</v>
      </c>
      <c r="S18">
        <v>57.795990000000003</v>
      </c>
      <c r="T18">
        <v>1282.1448</v>
      </c>
      <c r="U18">
        <v>1907854.1</v>
      </c>
      <c r="V18">
        <v>816307.13</v>
      </c>
      <c r="W18">
        <v>3843677.5</v>
      </c>
      <c r="X18">
        <v>1511021</v>
      </c>
    </row>
    <row r="19" spans="1:24" x14ac:dyDescent="0.2">
      <c r="A19" t="s">
        <v>143</v>
      </c>
      <c r="B19" t="s">
        <v>292</v>
      </c>
      <c r="C19">
        <v>40</v>
      </c>
      <c r="D19">
        <v>3</v>
      </c>
      <c r="E19">
        <v>397534.26569999999</v>
      </c>
      <c r="F19">
        <v>12732</v>
      </c>
      <c r="G19">
        <v>6776</v>
      </c>
      <c r="H19">
        <v>22541</v>
      </c>
      <c r="I19">
        <v>38421</v>
      </c>
      <c r="J19">
        <v>22836</v>
      </c>
      <c r="K19">
        <v>62606</v>
      </c>
      <c r="L19">
        <v>12463.992806099999</v>
      </c>
      <c r="M19">
        <v>8025.5782186599999</v>
      </c>
      <c r="N19">
        <v>18084.1391831</v>
      </c>
      <c r="O19">
        <v>1.09777712923</v>
      </c>
      <c r="P19">
        <v>0.447844630874</v>
      </c>
      <c r="Q19">
        <v>2.0704192471399998</v>
      </c>
      <c r="R19">
        <v>1.3339951999999999</v>
      </c>
      <c r="S19">
        <v>2.3694581999999999E-2</v>
      </c>
      <c r="T19">
        <v>9.5415878000000003</v>
      </c>
      <c r="U19">
        <v>1186.9614999999999</v>
      </c>
      <c r="V19">
        <v>238.04785000000001</v>
      </c>
      <c r="W19">
        <v>3669.9036000000001</v>
      </c>
      <c r="X19">
        <v>889</v>
      </c>
    </row>
    <row r="20" spans="1:24" x14ac:dyDescent="0.2">
      <c r="A20" t="s">
        <v>144</v>
      </c>
      <c r="B20" t="s">
        <v>293</v>
      </c>
      <c r="C20">
        <v>42</v>
      </c>
      <c r="D20">
        <v>2</v>
      </c>
      <c r="E20">
        <v>15637227.5</v>
      </c>
      <c r="F20">
        <v>257950</v>
      </c>
      <c r="G20">
        <v>167531</v>
      </c>
      <c r="H20">
        <v>370996</v>
      </c>
      <c r="I20">
        <v>797426</v>
      </c>
      <c r="J20">
        <v>548974</v>
      </c>
      <c r="K20">
        <v>1084392</v>
      </c>
      <c r="L20">
        <v>105344.74374400001</v>
      </c>
      <c r="M20">
        <v>54554.891098</v>
      </c>
      <c r="N20">
        <v>178632.564243</v>
      </c>
      <c r="O20">
        <v>5.9098292026600001</v>
      </c>
      <c r="P20">
        <v>0.25400298821799999</v>
      </c>
      <c r="Q20">
        <v>26.757908387200001</v>
      </c>
      <c r="R20">
        <v>40.405543999999999</v>
      </c>
      <c r="S20">
        <v>12.973148</v>
      </c>
      <c r="T20">
        <v>96.001983999999993</v>
      </c>
      <c r="U20">
        <v>95356.843999999997</v>
      </c>
      <c r="V20">
        <v>36457.012000000002</v>
      </c>
      <c r="W20">
        <v>204724</v>
      </c>
      <c r="X20">
        <v>56597</v>
      </c>
    </row>
    <row r="21" spans="1:24" x14ac:dyDescent="0.2">
      <c r="A21" t="s">
        <v>145</v>
      </c>
      <c r="B21" t="s">
        <v>294</v>
      </c>
      <c r="C21">
        <v>43</v>
      </c>
      <c r="D21">
        <v>2</v>
      </c>
      <c r="E21">
        <v>9490972.5</v>
      </c>
      <c r="F21">
        <v>77023</v>
      </c>
      <c r="G21">
        <v>42810</v>
      </c>
      <c r="H21">
        <v>119252</v>
      </c>
      <c r="I21">
        <v>238713</v>
      </c>
      <c r="J21">
        <v>145122</v>
      </c>
      <c r="K21">
        <v>345040</v>
      </c>
      <c r="L21">
        <v>58723.472214000001</v>
      </c>
      <c r="M21">
        <v>28780.149979099999</v>
      </c>
      <c r="N21">
        <v>103124.28502700001</v>
      </c>
      <c r="O21">
        <v>2.7756975925699998</v>
      </c>
      <c r="P21">
        <v>0.13528697362200001</v>
      </c>
      <c r="Q21">
        <v>11.8487807736</v>
      </c>
      <c r="R21">
        <v>13.230016000000001</v>
      </c>
      <c r="S21">
        <v>3.4410048</v>
      </c>
      <c r="T21">
        <v>34.082732999999998</v>
      </c>
      <c r="U21">
        <v>31213.726999999999</v>
      </c>
      <c r="V21">
        <v>9314.6366999999991</v>
      </c>
      <c r="W21">
        <v>75329.516000000003</v>
      </c>
      <c r="X21">
        <v>18759</v>
      </c>
    </row>
    <row r="22" spans="1:24" x14ac:dyDescent="0.2">
      <c r="A22" t="s">
        <v>146</v>
      </c>
      <c r="B22" t="s">
        <v>296</v>
      </c>
      <c r="C22">
        <v>44</v>
      </c>
      <c r="D22">
        <v>3</v>
      </c>
      <c r="E22">
        <v>14422883.5</v>
      </c>
      <c r="F22">
        <v>404533</v>
      </c>
      <c r="G22">
        <v>282589</v>
      </c>
      <c r="H22">
        <v>568752</v>
      </c>
      <c r="I22">
        <v>1243325</v>
      </c>
      <c r="J22">
        <v>918191</v>
      </c>
      <c r="K22">
        <v>1649357</v>
      </c>
      <c r="L22">
        <v>242435.49763699999</v>
      </c>
      <c r="M22">
        <v>160171.04269999999</v>
      </c>
      <c r="N22">
        <v>345100.49674899998</v>
      </c>
      <c r="O22">
        <v>61.731564831299998</v>
      </c>
      <c r="P22">
        <v>13.431651798200001</v>
      </c>
      <c r="Q22">
        <v>179.65431615700001</v>
      </c>
      <c r="R22">
        <v>231.09216000000001</v>
      </c>
      <c r="S22">
        <v>49.898529000000003</v>
      </c>
      <c r="T22">
        <v>735.97289999999998</v>
      </c>
      <c r="U22">
        <v>417754.31</v>
      </c>
      <c r="V22">
        <v>167841.92000000001</v>
      </c>
      <c r="W22">
        <v>869629.88</v>
      </c>
      <c r="X22">
        <v>304104</v>
      </c>
    </row>
    <row r="23" spans="1:24" x14ac:dyDescent="0.2">
      <c r="A23" t="s">
        <v>147</v>
      </c>
      <c r="B23" t="s">
        <v>297</v>
      </c>
      <c r="C23">
        <v>45</v>
      </c>
      <c r="D23">
        <v>2</v>
      </c>
      <c r="E23">
        <v>20645237</v>
      </c>
      <c r="F23">
        <v>497871</v>
      </c>
      <c r="G23">
        <v>350920</v>
      </c>
      <c r="H23">
        <v>701594</v>
      </c>
      <c r="I23">
        <v>1521543</v>
      </c>
      <c r="J23">
        <v>1132524</v>
      </c>
      <c r="K23">
        <v>2022270</v>
      </c>
      <c r="L23">
        <v>204204.042522</v>
      </c>
      <c r="M23">
        <v>125640.864545</v>
      </c>
      <c r="N23">
        <v>306257.52317399997</v>
      </c>
      <c r="O23">
        <v>7.89183677707</v>
      </c>
      <c r="P23">
        <v>0.67872196540899998</v>
      </c>
      <c r="Q23">
        <v>29.775527127099998</v>
      </c>
      <c r="R23">
        <v>77.742896999999999</v>
      </c>
      <c r="S23">
        <v>27.424332</v>
      </c>
      <c r="T23">
        <v>178.07964999999999</v>
      </c>
      <c r="U23">
        <v>183483.56</v>
      </c>
      <c r="V23">
        <v>77240.133000000002</v>
      </c>
      <c r="W23">
        <v>373812.94</v>
      </c>
      <c r="X23">
        <v>51825</v>
      </c>
    </row>
    <row r="24" spans="1:24" x14ac:dyDescent="0.2">
      <c r="A24" t="s">
        <v>148</v>
      </c>
      <c r="B24" t="s">
        <v>298</v>
      </c>
      <c r="C24">
        <v>47</v>
      </c>
      <c r="D24">
        <v>2</v>
      </c>
      <c r="E24">
        <v>490476.54690000002</v>
      </c>
      <c r="F24">
        <v>10879</v>
      </c>
      <c r="G24">
        <v>6126</v>
      </c>
      <c r="H24">
        <v>17651</v>
      </c>
      <c r="I24">
        <v>33547</v>
      </c>
      <c r="J24">
        <v>20972</v>
      </c>
      <c r="K24">
        <v>50226</v>
      </c>
      <c r="L24">
        <v>3134.1773223099999</v>
      </c>
      <c r="M24">
        <v>1601.90320554</v>
      </c>
      <c r="N24">
        <v>5361.22709227</v>
      </c>
      <c r="O24">
        <v>2.52700776447E-2</v>
      </c>
      <c r="P24">
        <v>4.4246991506199998E-3</v>
      </c>
      <c r="Q24">
        <v>6.7084390370399996E-2</v>
      </c>
      <c r="R24">
        <v>0.77299284999999995</v>
      </c>
      <c r="S24">
        <v>0.21475211</v>
      </c>
      <c r="T24">
        <v>1.9214469999999999</v>
      </c>
      <c r="U24">
        <v>1823.9419</v>
      </c>
      <c r="V24">
        <v>592.74310000000003</v>
      </c>
      <c r="W24">
        <v>4244.3603999999996</v>
      </c>
      <c r="X24">
        <v>1051</v>
      </c>
    </row>
    <row r="25" spans="1:24" x14ac:dyDescent="0.2">
      <c r="A25" t="s">
        <v>149</v>
      </c>
      <c r="B25" t="s">
        <v>299</v>
      </c>
      <c r="C25">
        <v>48</v>
      </c>
      <c r="D25">
        <v>1</v>
      </c>
      <c r="E25" t="s">
        <v>128</v>
      </c>
      <c r="F25">
        <v>1987</v>
      </c>
      <c r="G25">
        <v>1058</v>
      </c>
      <c r="H25">
        <v>3404</v>
      </c>
      <c r="I25">
        <v>6016</v>
      </c>
      <c r="J25">
        <v>3599</v>
      </c>
      <c r="K25">
        <v>9452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0.39230523</v>
      </c>
      <c r="S25">
        <v>0.11881404</v>
      </c>
      <c r="T25">
        <v>0.95709180999999999</v>
      </c>
      <c r="U25">
        <v>925.52850000000001</v>
      </c>
      <c r="V25">
        <v>329.53960999999998</v>
      </c>
      <c r="W25">
        <v>2167.9735999999998</v>
      </c>
      <c r="X25">
        <v>693</v>
      </c>
    </row>
    <row r="26" spans="1:24" x14ac:dyDescent="0.2">
      <c r="A26" t="s">
        <v>150</v>
      </c>
      <c r="B26" t="s">
        <v>300</v>
      </c>
      <c r="C26">
        <v>49</v>
      </c>
      <c r="D26">
        <v>2</v>
      </c>
      <c r="E26">
        <v>4448738.25</v>
      </c>
      <c r="F26">
        <v>59436</v>
      </c>
      <c r="G26">
        <v>34672</v>
      </c>
      <c r="H26">
        <v>93206</v>
      </c>
      <c r="I26">
        <v>183305</v>
      </c>
      <c r="J26">
        <v>117623</v>
      </c>
      <c r="K26">
        <v>266963</v>
      </c>
      <c r="L26">
        <v>27089.321525300002</v>
      </c>
      <c r="M26">
        <v>13684.6658298</v>
      </c>
      <c r="N26">
        <v>46692.938712100004</v>
      </c>
      <c r="O26">
        <v>1.5233966866299999</v>
      </c>
      <c r="P26">
        <v>5.9270652988600001E-2</v>
      </c>
      <c r="Q26">
        <v>6.0063675276100001</v>
      </c>
      <c r="R26">
        <v>10.756624</v>
      </c>
      <c r="S26">
        <v>3.4374099</v>
      </c>
      <c r="T26">
        <v>25.584526</v>
      </c>
      <c r="U26">
        <v>25385.428</v>
      </c>
      <c r="V26">
        <v>9626.6270000000004</v>
      </c>
      <c r="W26">
        <v>54798.34</v>
      </c>
      <c r="X26">
        <v>5745</v>
      </c>
    </row>
    <row r="27" spans="1:24" x14ac:dyDescent="0.2">
      <c r="A27" t="s">
        <v>151</v>
      </c>
      <c r="B27" t="s">
        <v>301</v>
      </c>
      <c r="C27">
        <v>50</v>
      </c>
      <c r="D27">
        <v>2</v>
      </c>
      <c r="E27">
        <v>11891899.5</v>
      </c>
      <c r="F27">
        <v>145525</v>
      </c>
      <c r="G27">
        <v>85538</v>
      </c>
      <c r="H27">
        <v>218800</v>
      </c>
      <c r="I27">
        <v>451621</v>
      </c>
      <c r="J27">
        <v>286219</v>
      </c>
      <c r="K27">
        <v>637502</v>
      </c>
      <c r="L27">
        <v>60895.689572800002</v>
      </c>
      <c r="M27">
        <v>26975.315537800001</v>
      </c>
      <c r="N27">
        <v>113679.032294</v>
      </c>
      <c r="O27">
        <v>4.4171963653699997</v>
      </c>
      <c r="P27">
        <v>0.15655788045399999</v>
      </c>
      <c r="Q27">
        <v>18.4737289772</v>
      </c>
      <c r="R27">
        <v>22.295731</v>
      </c>
      <c r="S27">
        <v>6.4555702000000004</v>
      </c>
      <c r="T27">
        <v>54.938934000000003</v>
      </c>
      <c r="U27">
        <v>52611.902000000002</v>
      </c>
      <c r="V27">
        <v>17913.684000000001</v>
      </c>
      <c r="W27">
        <v>120405.11</v>
      </c>
      <c r="X27">
        <v>4525</v>
      </c>
    </row>
    <row r="28" spans="1:24" x14ac:dyDescent="0.2">
      <c r="A28" t="s">
        <v>152</v>
      </c>
      <c r="B28" t="s">
        <v>302</v>
      </c>
      <c r="C28">
        <v>51</v>
      </c>
      <c r="D28">
        <v>3</v>
      </c>
      <c r="E28">
        <v>17043100</v>
      </c>
      <c r="F28">
        <v>6523946</v>
      </c>
      <c r="G28">
        <v>4683881</v>
      </c>
      <c r="H28">
        <v>8919000</v>
      </c>
      <c r="I28">
        <v>20062625</v>
      </c>
      <c r="J28">
        <v>15083630</v>
      </c>
      <c r="K28">
        <v>26126115</v>
      </c>
      <c r="L28">
        <v>2591261.7323599998</v>
      </c>
      <c r="M28">
        <v>1600877.7350300001</v>
      </c>
      <c r="N28">
        <v>3902491.1271899999</v>
      </c>
      <c r="O28">
        <v>5.4803227945100002</v>
      </c>
      <c r="P28">
        <v>2.9534118257899999</v>
      </c>
      <c r="Q28">
        <v>16.959757902100002</v>
      </c>
      <c r="R28">
        <v>456.24176</v>
      </c>
      <c r="S28">
        <v>125.99684000000001</v>
      </c>
      <c r="T28">
        <v>1141.1765</v>
      </c>
      <c r="U28">
        <v>1076449.3</v>
      </c>
      <c r="V28">
        <v>346814.09</v>
      </c>
      <c r="W28">
        <v>2576897.5</v>
      </c>
      <c r="X28">
        <v>803501</v>
      </c>
    </row>
    <row r="29" spans="1:24" x14ac:dyDescent="0.2">
      <c r="A29" t="s">
        <v>153</v>
      </c>
      <c r="B29" t="s">
        <v>303</v>
      </c>
      <c r="C29">
        <v>57</v>
      </c>
      <c r="D29">
        <v>1</v>
      </c>
      <c r="E29">
        <v>46508622</v>
      </c>
      <c r="F29">
        <v>1073891</v>
      </c>
      <c r="G29">
        <v>783699</v>
      </c>
      <c r="H29">
        <v>1465285</v>
      </c>
      <c r="I29">
        <v>3281089</v>
      </c>
      <c r="J29">
        <v>2515002</v>
      </c>
      <c r="K29">
        <v>4243729</v>
      </c>
      <c r="L29">
        <v>648329.81681800005</v>
      </c>
      <c r="M29">
        <v>448119.61353999999</v>
      </c>
      <c r="N29">
        <v>892170.99550299998</v>
      </c>
      <c r="O29">
        <v>276.985855947</v>
      </c>
      <c r="P29">
        <v>185.509009324</v>
      </c>
      <c r="Q29">
        <v>376.64805147599998</v>
      </c>
      <c r="R29">
        <v>127.78504</v>
      </c>
      <c r="S29">
        <v>32.326439000000001</v>
      </c>
      <c r="T29">
        <v>371.92719</v>
      </c>
      <c r="U29">
        <v>510091.38</v>
      </c>
      <c r="V29">
        <v>220492.77</v>
      </c>
      <c r="W29">
        <v>1020181.4</v>
      </c>
      <c r="X29">
        <v>374407</v>
      </c>
    </row>
    <row r="30" spans="1:24" x14ac:dyDescent="0.2">
      <c r="A30" t="s">
        <v>154</v>
      </c>
      <c r="B30" t="s">
        <v>304</v>
      </c>
      <c r="C30">
        <v>58</v>
      </c>
      <c r="D30">
        <v>2</v>
      </c>
      <c r="E30">
        <v>706695.06259999995</v>
      </c>
      <c r="F30">
        <v>16538</v>
      </c>
      <c r="G30">
        <v>10228</v>
      </c>
      <c r="H30">
        <v>25414</v>
      </c>
      <c r="I30">
        <v>50733</v>
      </c>
      <c r="J30">
        <v>34230</v>
      </c>
      <c r="K30">
        <v>72452</v>
      </c>
      <c r="L30">
        <v>7207.3553260500003</v>
      </c>
      <c r="M30">
        <v>4544.8136246100003</v>
      </c>
      <c r="N30">
        <v>10618.788231799999</v>
      </c>
      <c r="O30">
        <v>0.161732794702</v>
      </c>
      <c r="P30">
        <v>1.57286860279E-2</v>
      </c>
      <c r="Q30">
        <v>0.58022549689799996</v>
      </c>
      <c r="R30">
        <v>1.6397614</v>
      </c>
      <c r="S30">
        <v>0.51823205000000006</v>
      </c>
      <c r="T30">
        <v>3.9263644000000002</v>
      </c>
      <c r="U30">
        <v>3869.7534000000001</v>
      </c>
      <c r="V30">
        <v>1439.2053000000001</v>
      </c>
      <c r="W30">
        <v>8460.4267999999993</v>
      </c>
      <c r="X30">
        <v>1732</v>
      </c>
    </row>
    <row r="31" spans="1:24" x14ac:dyDescent="0.2">
      <c r="A31" t="s">
        <v>155</v>
      </c>
      <c r="B31" t="s">
        <v>305</v>
      </c>
      <c r="C31">
        <v>59</v>
      </c>
      <c r="D31">
        <v>2</v>
      </c>
      <c r="E31">
        <v>4097309.25</v>
      </c>
      <c r="F31">
        <v>114173</v>
      </c>
      <c r="G31">
        <v>75677</v>
      </c>
      <c r="H31">
        <v>168494</v>
      </c>
      <c r="I31">
        <v>347147</v>
      </c>
      <c r="J31">
        <v>246770</v>
      </c>
      <c r="K31">
        <v>480451</v>
      </c>
      <c r="L31">
        <v>23710.245502500002</v>
      </c>
      <c r="M31">
        <v>11545.6914098</v>
      </c>
      <c r="N31">
        <v>41755.985233500003</v>
      </c>
      <c r="O31">
        <v>0.31867889079</v>
      </c>
      <c r="P31">
        <v>4.5640144669600001E-2</v>
      </c>
      <c r="Q31">
        <v>0.92418495895999997</v>
      </c>
      <c r="R31">
        <v>9.2585744999999999</v>
      </c>
      <c r="S31">
        <v>2.8801842</v>
      </c>
      <c r="T31">
        <v>22.414300999999998</v>
      </c>
      <c r="U31">
        <v>21849.305</v>
      </c>
      <c r="V31">
        <v>7941.4668000000001</v>
      </c>
      <c r="W31">
        <v>48099.866999999998</v>
      </c>
      <c r="X31">
        <v>13183</v>
      </c>
    </row>
    <row r="32" spans="1:24" x14ac:dyDescent="0.2">
      <c r="A32" t="s">
        <v>156</v>
      </c>
      <c r="B32" t="s">
        <v>306</v>
      </c>
      <c r="C32">
        <v>60</v>
      </c>
      <c r="D32">
        <v>4</v>
      </c>
      <c r="E32" t="s">
        <v>128</v>
      </c>
      <c r="F32">
        <v>712</v>
      </c>
      <c r="G32">
        <v>225</v>
      </c>
      <c r="H32">
        <v>1766</v>
      </c>
      <c r="I32">
        <v>2155</v>
      </c>
      <c r="J32">
        <v>827</v>
      </c>
      <c r="K32">
        <v>4711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0.14181286000000001</v>
      </c>
      <c r="S32">
        <v>4.6200856999999998E-2</v>
      </c>
      <c r="T32">
        <v>0.3353776</v>
      </c>
      <c r="U32">
        <v>334.68117999999998</v>
      </c>
      <c r="V32">
        <v>129.91005999999999</v>
      </c>
      <c r="W32">
        <v>710.62969999999996</v>
      </c>
      <c r="X32">
        <v>250</v>
      </c>
    </row>
    <row r="33" spans="1:24" x14ac:dyDescent="0.2">
      <c r="A33" t="s">
        <v>157</v>
      </c>
      <c r="B33" t="s">
        <v>307</v>
      </c>
      <c r="C33">
        <v>61</v>
      </c>
      <c r="D33">
        <v>1</v>
      </c>
      <c r="E33">
        <v>4550820.5</v>
      </c>
      <c r="F33">
        <v>117677</v>
      </c>
      <c r="G33">
        <v>79912</v>
      </c>
      <c r="H33">
        <v>168993</v>
      </c>
      <c r="I33">
        <v>361243</v>
      </c>
      <c r="J33">
        <v>261580</v>
      </c>
      <c r="K33">
        <v>488074</v>
      </c>
      <c r="L33">
        <v>55541.802824400002</v>
      </c>
      <c r="M33">
        <v>38193.0302572</v>
      </c>
      <c r="N33">
        <v>76889.038096499993</v>
      </c>
      <c r="O33">
        <v>3.5817097986999999</v>
      </c>
      <c r="P33">
        <v>1.9654634439100001</v>
      </c>
      <c r="Q33">
        <v>5.67728007888</v>
      </c>
      <c r="R33">
        <v>1.4104642999999999</v>
      </c>
      <c r="S33">
        <v>2.6027646000000002E-2</v>
      </c>
      <c r="T33">
        <v>8.9621563000000002</v>
      </c>
      <c r="U33">
        <v>46524.309000000001</v>
      </c>
      <c r="V33">
        <v>19912.936000000002</v>
      </c>
      <c r="W33">
        <v>93695.414000000004</v>
      </c>
      <c r="X33">
        <v>34755</v>
      </c>
    </row>
    <row r="34" spans="1:24" x14ac:dyDescent="0.2">
      <c r="A34" t="s">
        <v>159</v>
      </c>
      <c r="B34" t="s">
        <v>295</v>
      </c>
      <c r="C34">
        <v>66</v>
      </c>
      <c r="D34">
        <v>2</v>
      </c>
      <c r="E34">
        <v>19860993</v>
      </c>
      <c r="F34">
        <v>603431</v>
      </c>
      <c r="G34">
        <v>427796</v>
      </c>
      <c r="H34">
        <v>845552</v>
      </c>
      <c r="I34">
        <v>1843448</v>
      </c>
      <c r="J34">
        <v>1383217</v>
      </c>
      <c r="K34">
        <v>2435397</v>
      </c>
      <c r="L34">
        <v>361012.983481</v>
      </c>
      <c r="M34">
        <v>249354.222515</v>
      </c>
      <c r="N34">
        <v>497196.69688900001</v>
      </c>
      <c r="O34">
        <v>17.2035340987</v>
      </c>
      <c r="P34">
        <v>1.2109826563799999</v>
      </c>
      <c r="Q34">
        <v>69.806375566699998</v>
      </c>
      <c r="R34">
        <v>131.80005</v>
      </c>
      <c r="S34">
        <v>48.222824000000003</v>
      </c>
      <c r="T34">
        <v>295.80117999999999</v>
      </c>
      <c r="U34">
        <v>311069.96999999997</v>
      </c>
      <c r="V34">
        <v>135803.03</v>
      </c>
      <c r="W34">
        <v>619476.31000000006</v>
      </c>
      <c r="X34">
        <v>125057</v>
      </c>
    </row>
    <row r="35" spans="1:24" x14ac:dyDescent="0.2">
      <c r="A35" t="s">
        <v>158</v>
      </c>
      <c r="B35" t="s">
        <v>308</v>
      </c>
      <c r="C35">
        <v>63</v>
      </c>
      <c r="D35">
        <v>1</v>
      </c>
      <c r="E35">
        <v>11282698.5</v>
      </c>
      <c r="F35">
        <v>372825</v>
      </c>
      <c r="G35">
        <v>266724</v>
      </c>
      <c r="H35">
        <v>518849</v>
      </c>
      <c r="I35">
        <v>1132115</v>
      </c>
      <c r="J35">
        <v>856787</v>
      </c>
      <c r="K35">
        <v>1489340</v>
      </c>
      <c r="L35">
        <v>267289.44388799998</v>
      </c>
      <c r="M35">
        <v>183288.52759000001</v>
      </c>
      <c r="N35">
        <v>370923.06226600002</v>
      </c>
      <c r="O35">
        <v>0.60693101031200003</v>
      </c>
      <c r="P35">
        <v>0.30822693340700003</v>
      </c>
      <c r="Q35">
        <v>2.5015607402</v>
      </c>
      <c r="R35">
        <v>1.0872139000000001</v>
      </c>
      <c r="S35">
        <v>4.7406614E-2</v>
      </c>
      <c r="T35">
        <v>5.5796795000000001</v>
      </c>
      <c r="U35">
        <v>211575.86</v>
      </c>
      <c r="V35">
        <v>90729.07</v>
      </c>
      <c r="W35">
        <v>425259.78</v>
      </c>
      <c r="X35">
        <v>158411</v>
      </c>
    </row>
    <row r="36" spans="1:24" x14ac:dyDescent="0.2">
      <c r="A36" t="s">
        <v>160</v>
      </c>
      <c r="B36" t="s">
        <v>309</v>
      </c>
      <c r="C36">
        <v>68</v>
      </c>
      <c r="D36">
        <v>2</v>
      </c>
      <c r="E36">
        <v>65385380</v>
      </c>
      <c r="F36">
        <v>947801</v>
      </c>
      <c r="G36">
        <v>629617</v>
      </c>
      <c r="H36">
        <v>1356953</v>
      </c>
      <c r="I36">
        <v>2917767</v>
      </c>
      <c r="J36">
        <v>2062475</v>
      </c>
      <c r="K36">
        <v>3941733</v>
      </c>
      <c r="L36">
        <v>406220.060337</v>
      </c>
      <c r="M36">
        <v>200505.400631</v>
      </c>
      <c r="N36">
        <v>710773.85420299997</v>
      </c>
      <c r="O36">
        <v>14.803552249199999</v>
      </c>
      <c r="P36">
        <v>0.81754939628300005</v>
      </c>
      <c r="Q36">
        <v>58.6403937105</v>
      </c>
      <c r="R36">
        <v>150.10364999999999</v>
      </c>
      <c r="S36">
        <v>47.393974</v>
      </c>
      <c r="T36">
        <v>359.74561</v>
      </c>
      <c r="U36">
        <v>354236.53</v>
      </c>
      <c r="V36">
        <v>131558.81</v>
      </c>
      <c r="W36">
        <v>775306.19</v>
      </c>
      <c r="X36">
        <v>203720</v>
      </c>
    </row>
    <row r="37" spans="1:24" x14ac:dyDescent="0.2">
      <c r="A37" t="s">
        <v>161</v>
      </c>
      <c r="B37" t="s">
        <v>310</v>
      </c>
      <c r="C37">
        <v>70</v>
      </c>
      <c r="D37">
        <v>2</v>
      </c>
      <c r="E37">
        <v>840600.8125</v>
      </c>
      <c r="F37">
        <v>16946</v>
      </c>
      <c r="G37">
        <v>6291</v>
      </c>
      <c r="H37">
        <v>35062</v>
      </c>
      <c r="I37">
        <v>52407</v>
      </c>
      <c r="J37">
        <v>23568</v>
      </c>
      <c r="K37">
        <v>97101</v>
      </c>
      <c r="L37">
        <v>4291.18083424</v>
      </c>
      <c r="M37">
        <v>1897.9760626499999</v>
      </c>
      <c r="N37">
        <v>8018.9007741400001</v>
      </c>
      <c r="O37">
        <v>9.8706886894599999E-2</v>
      </c>
      <c r="P37">
        <v>8.7129269974899996E-3</v>
      </c>
      <c r="Q37">
        <v>0.32616323067899999</v>
      </c>
      <c r="R37">
        <v>0.69375956000000005</v>
      </c>
      <c r="S37">
        <v>0.14384118000000001</v>
      </c>
      <c r="T37">
        <v>2.0055146000000001</v>
      </c>
      <c r="U37">
        <v>1635.9983999999999</v>
      </c>
      <c r="V37">
        <v>384.80032</v>
      </c>
      <c r="W37">
        <v>4733.9668000000001</v>
      </c>
      <c r="X37">
        <v>1005</v>
      </c>
    </row>
    <row r="38" spans="1:24" x14ac:dyDescent="0.2">
      <c r="A38" t="s">
        <v>162</v>
      </c>
      <c r="B38" t="s">
        <v>311</v>
      </c>
      <c r="C38">
        <v>71</v>
      </c>
      <c r="D38">
        <v>1</v>
      </c>
      <c r="E38">
        <v>70745.789059999996</v>
      </c>
      <c r="F38">
        <v>2327</v>
      </c>
      <c r="G38">
        <v>1286</v>
      </c>
      <c r="H38">
        <v>3880</v>
      </c>
      <c r="I38">
        <v>7052</v>
      </c>
      <c r="J38">
        <v>4347</v>
      </c>
      <c r="K38">
        <v>10850</v>
      </c>
      <c r="L38">
        <v>3067.0934165200001</v>
      </c>
      <c r="M38">
        <v>1980.3078513</v>
      </c>
      <c r="N38">
        <v>4441.1771296500001</v>
      </c>
      <c r="O38">
        <v>0.19767244332200001</v>
      </c>
      <c r="P38">
        <v>6.5758541556100003E-2</v>
      </c>
      <c r="Q38">
        <v>0.37276082341900002</v>
      </c>
      <c r="R38">
        <v>0.85131716999999996</v>
      </c>
      <c r="S38">
        <v>0.28649913999999999</v>
      </c>
      <c r="T38">
        <v>1.9911627999999999</v>
      </c>
      <c r="U38">
        <v>2009.1659</v>
      </c>
      <c r="V38">
        <v>798.87683000000004</v>
      </c>
      <c r="W38">
        <v>4205.7157999999999</v>
      </c>
      <c r="X38">
        <v>1497</v>
      </c>
    </row>
    <row r="39" spans="1:24" x14ac:dyDescent="0.2">
      <c r="A39" t="s">
        <v>163</v>
      </c>
      <c r="B39" t="s">
        <v>312</v>
      </c>
      <c r="C39">
        <v>72</v>
      </c>
      <c r="D39">
        <v>1</v>
      </c>
      <c r="E39">
        <v>9899707.5</v>
      </c>
      <c r="F39">
        <v>336410</v>
      </c>
      <c r="G39">
        <v>213296</v>
      </c>
      <c r="H39">
        <v>519207</v>
      </c>
      <c r="I39">
        <v>1017290</v>
      </c>
      <c r="J39">
        <v>698134</v>
      </c>
      <c r="K39">
        <v>1466630</v>
      </c>
      <c r="L39">
        <v>235322.38526400001</v>
      </c>
      <c r="M39">
        <v>149876.63818400001</v>
      </c>
      <c r="N39">
        <v>344183.40282900003</v>
      </c>
      <c r="O39">
        <v>127.481459992</v>
      </c>
      <c r="P39">
        <v>10.560840070599999</v>
      </c>
      <c r="Q39">
        <v>253.36817285500001</v>
      </c>
      <c r="R39">
        <v>90.329719999999995</v>
      </c>
      <c r="S39">
        <v>19.236370000000001</v>
      </c>
      <c r="T39">
        <v>284.95209</v>
      </c>
      <c r="U39">
        <v>273547.09000000003</v>
      </c>
      <c r="V39">
        <v>111104.87</v>
      </c>
      <c r="W39">
        <v>566641.31000000006</v>
      </c>
      <c r="X39">
        <v>190115</v>
      </c>
    </row>
    <row r="40" spans="1:24" x14ac:dyDescent="0.2">
      <c r="A40" t="s">
        <v>164</v>
      </c>
      <c r="B40" t="s">
        <v>313</v>
      </c>
      <c r="C40">
        <v>73</v>
      </c>
      <c r="D40">
        <v>1</v>
      </c>
      <c r="E40">
        <v>14947486</v>
      </c>
      <c r="F40">
        <v>310448</v>
      </c>
      <c r="G40">
        <v>220963</v>
      </c>
      <c r="H40">
        <v>430732</v>
      </c>
      <c r="I40">
        <v>951375</v>
      </c>
      <c r="J40">
        <v>713884</v>
      </c>
      <c r="K40">
        <v>1248114</v>
      </c>
      <c r="L40">
        <v>184620.44753500001</v>
      </c>
      <c r="M40">
        <v>125359.24250399999</v>
      </c>
      <c r="N40">
        <v>258032.54024100001</v>
      </c>
      <c r="O40">
        <v>76.636100895499993</v>
      </c>
      <c r="P40">
        <v>44.659088240400003</v>
      </c>
      <c r="Q40">
        <v>109.568211269</v>
      </c>
      <c r="R40">
        <v>12.708819</v>
      </c>
      <c r="S40">
        <v>1.6356945000000001</v>
      </c>
      <c r="T40">
        <v>49.826832000000003</v>
      </c>
      <c r="U40">
        <v>163456.03</v>
      </c>
      <c r="V40">
        <v>70544.531000000003</v>
      </c>
      <c r="W40">
        <v>327160.28000000003</v>
      </c>
      <c r="X40">
        <v>121840</v>
      </c>
    </row>
    <row r="41" spans="1:24" x14ac:dyDescent="0.2">
      <c r="A41" t="s">
        <v>259</v>
      </c>
      <c r="B41" t="s">
        <v>314</v>
      </c>
      <c r="C41">
        <v>40765</v>
      </c>
      <c r="D41">
        <v>2</v>
      </c>
      <c r="E41">
        <v>81317528</v>
      </c>
      <c r="F41">
        <v>1499568</v>
      </c>
      <c r="G41">
        <v>965744</v>
      </c>
      <c r="H41">
        <v>2164954</v>
      </c>
      <c r="I41">
        <v>4645241</v>
      </c>
      <c r="J41">
        <v>3186358</v>
      </c>
      <c r="K41">
        <v>6312307</v>
      </c>
      <c r="L41">
        <v>677804.88384899998</v>
      </c>
      <c r="M41">
        <v>396426.12142400001</v>
      </c>
      <c r="N41">
        <v>1055340.71533</v>
      </c>
      <c r="O41">
        <v>2.6101587852299999</v>
      </c>
      <c r="P41">
        <v>0.112582771043</v>
      </c>
      <c r="Q41">
        <v>7.4863341949800004</v>
      </c>
      <c r="R41">
        <v>174.4402</v>
      </c>
      <c r="S41">
        <v>54.585289000000003</v>
      </c>
      <c r="T41">
        <v>421.51204999999999</v>
      </c>
      <c r="U41">
        <v>411664.63</v>
      </c>
      <c r="V41">
        <v>150857.34</v>
      </c>
      <c r="W41">
        <v>904654.13</v>
      </c>
      <c r="X41">
        <v>362109</v>
      </c>
    </row>
    <row r="42" spans="1:24" x14ac:dyDescent="0.2">
      <c r="A42" t="s">
        <v>165</v>
      </c>
      <c r="B42" t="s">
        <v>315</v>
      </c>
      <c r="C42">
        <v>75</v>
      </c>
      <c r="D42">
        <v>1</v>
      </c>
      <c r="E42">
        <v>6104254</v>
      </c>
      <c r="F42">
        <v>205242</v>
      </c>
      <c r="G42">
        <v>141902</v>
      </c>
      <c r="H42">
        <v>295506</v>
      </c>
      <c r="I42">
        <v>624014</v>
      </c>
      <c r="J42">
        <v>458412</v>
      </c>
      <c r="K42">
        <v>843641</v>
      </c>
      <c r="L42">
        <v>229495.35013199999</v>
      </c>
      <c r="M42">
        <v>151802.612039</v>
      </c>
      <c r="N42">
        <v>326384.94073099998</v>
      </c>
      <c r="O42">
        <v>2.3651360807400001</v>
      </c>
      <c r="P42">
        <v>1.15290382687</v>
      </c>
      <c r="Q42">
        <v>4.4952551777999998</v>
      </c>
      <c r="R42">
        <v>13.432966</v>
      </c>
      <c r="S42">
        <v>0.27877997999999998</v>
      </c>
      <c r="T42">
        <v>75.089187999999993</v>
      </c>
      <c r="U42">
        <v>141595.04999999999</v>
      </c>
      <c r="V42">
        <v>59604.425999999999</v>
      </c>
      <c r="W42">
        <v>288476.71999999997</v>
      </c>
      <c r="X42">
        <v>104789</v>
      </c>
    </row>
    <row r="43" spans="1:24" x14ac:dyDescent="0.2">
      <c r="A43" t="s">
        <v>166</v>
      </c>
      <c r="B43" t="s">
        <v>316</v>
      </c>
      <c r="C43">
        <v>76</v>
      </c>
      <c r="D43">
        <v>2</v>
      </c>
      <c r="E43">
        <v>724649.68759999995</v>
      </c>
      <c r="F43">
        <v>16166</v>
      </c>
      <c r="G43">
        <v>10729</v>
      </c>
      <c r="H43">
        <v>23256</v>
      </c>
      <c r="I43">
        <v>49799</v>
      </c>
      <c r="J43">
        <v>35252</v>
      </c>
      <c r="K43">
        <v>67404</v>
      </c>
      <c r="L43">
        <v>8337.7215285000002</v>
      </c>
      <c r="M43">
        <v>5369.0980878099999</v>
      </c>
      <c r="N43">
        <v>12096.5784862</v>
      </c>
      <c r="O43">
        <v>7.1251241830099996E-2</v>
      </c>
      <c r="P43">
        <v>1.2217200260599999E-2</v>
      </c>
      <c r="Q43">
        <v>0.21108153564500001</v>
      </c>
      <c r="R43">
        <v>0.68242948999999997</v>
      </c>
      <c r="S43">
        <v>0.12171994</v>
      </c>
      <c r="T43">
        <v>2.1137366000000002</v>
      </c>
      <c r="U43">
        <v>1608.6865</v>
      </c>
      <c r="V43">
        <v>330.07916</v>
      </c>
      <c r="W43">
        <v>4928.5228999999999</v>
      </c>
      <c r="X43">
        <v>874</v>
      </c>
    </row>
    <row r="44" spans="1:24" x14ac:dyDescent="0.2">
      <c r="A44" t="s">
        <v>167</v>
      </c>
      <c r="B44" t="s">
        <v>317</v>
      </c>
      <c r="C44">
        <v>77</v>
      </c>
      <c r="D44">
        <v>2</v>
      </c>
      <c r="E44">
        <v>4894284.5</v>
      </c>
      <c r="F44">
        <v>42184</v>
      </c>
      <c r="G44">
        <v>19704</v>
      </c>
      <c r="H44">
        <v>70386</v>
      </c>
      <c r="I44">
        <v>131736</v>
      </c>
      <c r="J44">
        <v>68901</v>
      </c>
      <c r="K44">
        <v>202693</v>
      </c>
      <c r="L44">
        <v>20785.548957300001</v>
      </c>
      <c r="M44">
        <v>8731.5526498800009</v>
      </c>
      <c r="N44">
        <v>40186.278904600003</v>
      </c>
      <c r="O44">
        <v>0.534382788715</v>
      </c>
      <c r="P44">
        <v>3.5661980663799997E-2</v>
      </c>
      <c r="Q44">
        <v>1.6964955215799999</v>
      </c>
      <c r="R44">
        <v>4.4683228000000002</v>
      </c>
      <c r="S44">
        <v>0.87062138</v>
      </c>
      <c r="T44">
        <v>13.249104000000001</v>
      </c>
      <c r="U44">
        <v>10535.465</v>
      </c>
      <c r="V44">
        <v>2328.6677</v>
      </c>
      <c r="W44">
        <v>31361.633000000002</v>
      </c>
      <c r="X44">
        <v>6821</v>
      </c>
    </row>
    <row r="45" spans="1:24" x14ac:dyDescent="0.2">
      <c r="A45" t="s">
        <v>168</v>
      </c>
      <c r="B45" t="s">
        <v>318</v>
      </c>
      <c r="C45">
        <v>79</v>
      </c>
      <c r="D45">
        <v>2</v>
      </c>
      <c r="E45">
        <v>87477860</v>
      </c>
      <c r="F45">
        <v>651184</v>
      </c>
      <c r="G45">
        <v>320718</v>
      </c>
      <c r="H45">
        <v>1041952</v>
      </c>
      <c r="I45">
        <v>2037422</v>
      </c>
      <c r="J45">
        <v>1089989</v>
      </c>
      <c r="K45">
        <v>3038520</v>
      </c>
      <c r="L45">
        <v>442417.18534600001</v>
      </c>
      <c r="M45">
        <v>197929.30919599999</v>
      </c>
      <c r="N45">
        <v>820451.79963200004</v>
      </c>
      <c r="O45">
        <v>15.5505874959</v>
      </c>
      <c r="P45">
        <v>0.68187642264500004</v>
      </c>
      <c r="Q45">
        <v>51.703983180900003</v>
      </c>
      <c r="R45">
        <v>94.009215999999995</v>
      </c>
      <c r="S45">
        <v>21.840191000000001</v>
      </c>
      <c r="T45">
        <v>255.13802999999999</v>
      </c>
      <c r="U45">
        <v>221747.41</v>
      </c>
      <c r="V45">
        <v>57709.336000000003</v>
      </c>
      <c r="W45">
        <v>590230.13</v>
      </c>
      <c r="X45">
        <v>75835</v>
      </c>
    </row>
    <row r="46" spans="1:24" x14ac:dyDescent="0.2">
      <c r="A46" t="s">
        <v>169</v>
      </c>
      <c r="B46" t="s">
        <v>319</v>
      </c>
      <c r="C46">
        <v>83</v>
      </c>
      <c r="D46">
        <v>4</v>
      </c>
      <c r="E46">
        <v>862345.9375</v>
      </c>
      <c r="F46">
        <v>24969</v>
      </c>
      <c r="G46">
        <v>18152</v>
      </c>
      <c r="H46">
        <v>34109</v>
      </c>
      <c r="I46">
        <v>76371</v>
      </c>
      <c r="J46">
        <v>58437</v>
      </c>
      <c r="K46">
        <v>99072</v>
      </c>
      <c r="L46">
        <v>12079.601640999999</v>
      </c>
      <c r="M46">
        <v>7514.6108568999998</v>
      </c>
      <c r="N46">
        <v>17973.2915794</v>
      </c>
      <c r="O46">
        <v>1.6420731468800001</v>
      </c>
      <c r="P46">
        <v>0.67641797095699996</v>
      </c>
      <c r="Q46">
        <v>3.4451820991400002</v>
      </c>
      <c r="R46">
        <v>11.960023</v>
      </c>
      <c r="S46">
        <v>3.8964257</v>
      </c>
      <c r="T46">
        <v>28.284624000000001</v>
      </c>
      <c r="U46">
        <v>28225.886999999999</v>
      </c>
      <c r="V46">
        <v>10956.179</v>
      </c>
      <c r="W46">
        <v>59932.125</v>
      </c>
      <c r="X46">
        <v>21104</v>
      </c>
    </row>
    <row r="47" spans="1:24" x14ac:dyDescent="0.2">
      <c r="A47" t="s">
        <v>170</v>
      </c>
      <c r="B47" t="s">
        <v>320</v>
      </c>
      <c r="C47">
        <v>86</v>
      </c>
      <c r="D47">
        <v>1</v>
      </c>
      <c r="E47" t="s">
        <v>128</v>
      </c>
      <c r="F47">
        <v>7024</v>
      </c>
      <c r="G47">
        <v>4325</v>
      </c>
      <c r="H47">
        <v>11090</v>
      </c>
      <c r="I47">
        <v>21312</v>
      </c>
      <c r="J47">
        <v>14285</v>
      </c>
      <c r="K47">
        <v>31274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1.6791147</v>
      </c>
      <c r="S47">
        <v>0.50853872</v>
      </c>
      <c r="T47">
        <v>4.0964707999999996</v>
      </c>
      <c r="U47">
        <v>3961.3760000000002</v>
      </c>
      <c r="V47">
        <v>1410.4701</v>
      </c>
      <c r="W47">
        <v>9279.1942999999992</v>
      </c>
      <c r="X47">
        <v>2853</v>
      </c>
    </row>
    <row r="48" spans="1:24" x14ac:dyDescent="0.2">
      <c r="A48" t="s">
        <v>171</v>
      </c>
      <c r="B48" t="s">
        <v>321</v>
      </c>
      <c r="C48">
        <v>87</v>
      </c>
      <c r="D48">
        <v>4</v>
      </c>
      <c r="E48" t="s">
        <v>128</v>
      </c>
      <c r="F48">
        <v>9879</v>
      </c>
      <c r="G48">
        <v>4734</v>
      </c>
      <c r="H48">
        <v>20300</v>
      </c>
      <c r="I48">
        <v>29763</v>
      </c>
      <c r="J48">
        <v>16034</v>
      </c>
      <c r="K48">
        <v>55211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3.7578442000000001</v>
      </c>
      <c r="S48">
        <v>1.2242587</v>
      </c>
      <c r="T48">
        <v>8.8870410999999994</v>
      </c>
      <c r="U48">
        <v>8868.5869000000002</v>
      </c>
      <c r="V48">
        <v>3442.4364999999998</v>
      </c>
      <c r="W48">
        <v>18830.701000000001</v>
      </c>
      <c r="X48">
        <v>6625</v>
      </c>
    </row>
    <row r="49" spans="1:24" x14ac:dyDescent="0.2">
      <c r="A49" t="s">
        <v>172</v>
      </c>
      <c r="B49" t="s">
        <v>322</v>
      </c>
      <c r="C49">
        <v>89</v>
      </c>
      <c r="D49">
        <v>2</v>
      </c>
      <c r="E49">
        <v>1556233.125</v>
      </c>
      <c r="F49">
        <v>44792</v>
      </c>
      <c r="G49">
        <v>25942</v>
      </c>
      <c r="H49">
        <v>74225</v>
      </c>
      <c r="I49">
        <v>135942</v>
      </c>
      <c r="J49">
        <v>86746</v>
      </c>
      <c r="K49">
        <v>208083</v>
      </c>
      <c r="L49">
        <v>19731.457895799998</v>
      </c>
      <c r="M49">
        <v>13005.9005134</v>
      </c>
      <c r="N49">
        <v>28136.916103200001</v>
      </c>
      <c r="O49">
        <v>0.27386282078599999</v>
      </c>
      <c r="P49">
        <v>4.8514675117E-2</v>
      </c>
      <c r="Q49">
        <v>0.73564067893499996</v>
      </c>
      <c r="R49">
        <v>6.3254175000000004</v>
      </c>
      <c r="S49">
        <v>2.2630644000000002</v>
      </c>
      <c r="T49">
        <v>14.405177999999999</v>
      </c>
      <c r="U49">
        <v>14928.906000000001</v>
      </c>
      <c r="V49">
        <v>6346.9032999999999</v>
      </c>
      <c r="W49">
        <v>30290.366999999998</v>
      </c>
      <c r="X49">
        <v>7572</v>
      </c>
    </row>
    <row r="50" spans="1:24" x14ac:dyDescent="0.2">
      <c r="A50" t="s">
        <v>174</v>
      </c>
      <c r="B50" t="s">
        <v>324</v>
      </c>
      <c r="C50">
        <v>94</v>
      </c>
      <c r="D50">
        <v>2</v>
      </c>
      <c r="E50">
        <v>24278730</v>
      </c>
      <c r="F50">
        <v>687110</v>
      </c>
      <c r="G50">
        <v>486967</v>
      </c>
      <c r="H50">
        <v>963366</v>
      </c>
      <c r="I50">
        <v>2093455</v>
      </c>
      <c r="J50">
        <v>1571708</v>
      </c>
      <c r="K50">
        <v>2765615</v>
      </c>
      <c r="L50">
        <v>383195.49853400001</v>
      </c>
      <c r="M50">
        <v>261944.955724</v>
      </c>
      <c r="N50">
        <v>532964.14941499999</v>
      </c>
      <c r="O50">
        <v>7.9371269511999998</v>
      </c>
      <c r="P50">
        <v>0.96733003082500002</v>
      </c>
      <c r="Q50">
        <v>26.6524237912</v>
      </c>
      <c r="R50">
        <v>145.26874000000001</v>
      </c>
      <c r="S50">
        <v>53.294220000000003</v>
      </c>
      <c r="T50">
        <v>325.91284000000002</v>
      </c>
      <c r="U50">
        <v>342858.53</v>
      </c>
      <c r="V50">
        <v>150220.57999999999</v>
      </c>
      <c r="W50">
        <v>681713.63</v>
      </c>
      <c r="X50">
        <v>239504</v>
      </c>
    </row>
    <row r="51" spans="1:24" x14ac:dyDescent="0.2">
      <c r="A51" t="s">
        <v>175</v>
      </c>
      <c r="B51" t="s">
        <v>325</v>
      </c>
      <c r="C51">
        <v>99</v>
      </c>
      <c r="D51">
        <v>1</v>
      </c>
      <c r="E51">
        <v>104813.6602</v>
      </c>
      <c r="F51">
        <v>3723</v>
      </c>
      <c r="G51">
        <v>1891</v>
      </c>
      <c r="H51">
        <v>6526</v>
      </c>
      <c r="I51">
        <v>11246</v>
      </c>
      <c r="J51">
        <v>6444</v>
      </c>
      <c r="K51">
        <v>18119</v>
      </c>
      <c r="L51">
        <v>1915.69063895</v>
      </c>
      <c r="M51">
        <v>1264.7268608899999</v>
      </c>
      <c r="N51">
        <v>2728.4511751800001</v>
      </c>
      <c r="O51">
        <v>4.75320023991E-2</v>
      </c>
      <c r="P51">
        <v>2.9343123686600001E-2</v>
      </c>
      <c r="Q51">
        <v>7.0001900447699994E-2</v>
      </c>
      <c r="R51">
        <v>1.3964816</v>
      </c>
      <c r="S51">
        <v>0.45933241000000002</v>
      </c>
      <c r="T51">
        <v>3.2927637000000001</v>
      </c>
      <c r="U51">
        <v>3295.7431999999999</v>
      </c>
      <c r="V51">
        <v>1290.4175</v>
      </c>
      <c r="W51">
        <v>6970.2372999999998</v>
      </c>
      <c r="X51">
        <v>2465</v>
      </c>
    </row>
    <row r="52" spans="1:24" x14ac:dyDescent="0.2">
      <c r="A52" t="s">
        <v>176</v>
      </c>
      <c r="B52" t="s">
        <v>326</v>
      </c>
      <c r="C52">
        <v>100</v>
      </c>
      <c r="D52">
        <v>1</v>
      </c>
      <c r="E52" t="s">
        <v>128</v>
      </c>
      <c r="F52">
        <v>17466</v>
      </c>
      <c r="G52">
        <v>10027</v>
      </c>
      <c r="H52">
        <v>28528</v>
      </c>
      <c r="I52">
        <v>52680</v>
      </c>
      <c r="J52">
        <v>33409</v>
      </c>
      <c r="K52">
        <v>79826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2.7239415999999999</v>
      </c>
      <c r="S52">
        <v>0.82497633000000004</v>
      </c>
      <c r="T52">
        <v>6.6454944999999999</v>
      </c>
      <c r="U52">
        <v>6426.3369000000002</v>
      </c>
      <c r="V52">
        <v>2288.1333</v>
      </c>
      <c r="W52">
        <v>15053.161</v>
      </c>
      <c r="X52">
        <v>4629</v>
      </c>
    </row>
    <row r="53" spans="1:24" x14ac:dyDescent="0.2">
      <c r="A53" t="s">
        <v>177</v>
      </c>
      <c r="B53" t="s">
        <v>327</v>
      </c>
      <c r="C53">
        <v>103</v>
      </c>
      <c r="D53">
        <v>1</v>
      </c>
      <c r="E53">
        <v>14922865.5</v>
      </c>
      <c r="F53">
        <v>322243</v>
      </c>
      <c r="G53">
        <v>231037</v>
      </c>
      <c r="H53">
        <v>443795</v>
      </c>
      <c r="I53">
        <v>988330</v>
      </c>
      <c r="J53">
        <v>745518</v>
      </c>
      <c r="K53">
        <v>1289753</v>
      </c>
      <c r="L53">
        <v>246665.98047499999</v>
      </c>
      <c r="M53">
        <v>170471.29904499999</v>
      </c>
      <c r="N53">
        <v>339489.45866900001</v>
      </c>
      <c r="O53">
        <v>87.9851766986</v>
      </c>
      <c r="P53">
        <v>55.007025819600003</v>
      </c>
      <c r="Q53">
        <v>123.374671288</v>
      </c>
      <c r="R53">
        <v>32.763331999999998</v>
      </c>
      <c r="S53">
        <v>5.1762867000000004</v>
      </c>
      <c r="T53">
        <v>113.03792</v>
      </c>
      <c r="U53">
        <v>188178.95</v>
      </c>
      <c r="V53">
        <v>82258.875</v>
      </c>
      <c r="W53">
        <v>374536.56</v>
      </c>
      <c r="X53">
        <v>88507</v>
      </c>
    </row>
    <row r="54" spans="1:24" x14ac:dyDescent="0.2">
      <c r="A54" t="s">
        <v>179</v>
      </c>
      <c r="B54" t="s">
        <v>328</v>
      </c>
      <c r="C54">
        <v>106</v>
      </c>
      <c r="D54">
        <v>2</v>
      </c>
      <c r="E54">
        <v>10983446</v>
      </c>
      <c r="F54">
        <v>192067</v>
      </c>
      <c r="G54">
        <v>125712</v>
      </c>
      <c r="H54">
        <v>275871</v>
      </c>
      <c r="I54">
        <v>593001</v>
      </c>
      <c r="J54">
        <v>412489</v>
      </c>
      <c r="K54">
        <v>803659</v>
      </c>
      <c r="L54">
        <v>88822.163708799999</v>
      </c>
      <c r="M54">
        <v>50425.028675200003</v>
      </c>
      <c r="N54">
        <v>141190.997213</v>
      </c>
      <c r="O54">
        <v>4.4110732835400004</v>
      </c>
      <c r="P54">
        <v>0.229926489214</v>
      </c>
      <c r="Q54">
        <v>18.025500074100002</v>
      </c>
      <c r="R54">
        <v>33.18779</v>
      </c>
      <c r="S54">
        <v>11.224303000000001</v>
      </c>
      <c r="T54">
        <v>77.451721000000006</v>
      </c>
      <c r="U54">
        <v>78325.702999999994</v>
      </c>
      <c r="V54">
        <v>31315.73</v>
      </c>
      <c r="W54">
        <v>163408.06</v>
      </c>
      <c r="X54">
        <v>31213</v>
      </c>
    </row>
    <row r="55" spans="1:24" x14ac:dyDescent="0.2">
      <c r="A55" t="s">
        <v>178</v>
      </c>
      <c r="B55" t="s">
        <v>329</v>
      </c>
      <c r="C55">
        <v>105</v>
      </c>
      <c r="D55">
        <v>2</v>
      </c>
      <c r="E55">
        <v>1631319.6880000001</v>
      </c>
      <c r="F55">
        <v>35011</v>
      </c>
      <c r="G55">
        <v>20615</v>
      </c>
      <c r="H55">
        <v>55465</v>
      </c>
      <c r="I55">
        <v>107616</v>
      </c>
      <c r="J55">
        <v>69781</v>
      </c>
      <c r="K55">
        <v>157739</v>
      </c>
      <c r="L55">
        <v>20270.135409300001</v>
      </c>
      <c r="M55">
        <v>13200.863551</v>
      </c>
      <c r="N55">
        <v>29165.567097300001</v>
      </c>
      <c r="O55">
        <v>1.0386947738300001</v>
      </c>
      <c r="P55">
        <v>5.0938843424999998E-2</v>
      </c>
      <c r="Q55">
        <v>4.2196172087799999</v>
      </c>
      <c r="R55">
        <v>7.3616548000000002</v>
      </c>
      <c r="S55">
        <v>2.6691064999999998</v>
      </c>
      <c r="T55">
        <v>16.658695000000002</v>
      </c>
      <c r="U55">
        <v>17374.673999999999</v>
      </c>
      <c r="V55">
        <v>7486.2323999999999</v>
      </c>
      <c r="W55">
        <v>34809.027000000002</v>
      </c>
      <c r="X55">
        <v>8371</v>
      </c>
    </row>
    <row r="56" spans="1:24" x14ac:dyDescent="0.2">
      <c r="A56" t="s">
        <v>180</v>
      </c>
      <c r="B56" t="s">
        <v>330</v>
      </c>
      <c r="C56">
        <v>107</v>
      </c>
      <c r="D56">
        <v>1</v>
      </c>
      <c r="E56">
        <v>771224.56259999995</v>
      </c>
      <c r="F56">
        <v>17416</v>
      </c>
      <c r="G56">
        <v>11728</v>
      </c>
      <c r="H56">
        <v>24596</v>
      </c>
      <c r="I56">
        <v>53779</v>
      </c>
      <c r="J56">
        <v>38306</v>
      </c>
      <c r="K56">
        <v>71810</v>
      </c>
      <c r="L56">
        <v>16186.312563199999</v>
      </c>
      <c r="M56">
        <v>11151.8359721</v>
      </c>
      <c r="N56">
        <v>22357.7387432</v>
      </c>
      <c r="O56">
        <v>4.5656447282899997</v>
      </c>
      <c r="P56">
        <v>2.8004233075</v>
      </c>
      <c r="Q56">
        <v>6.3886182412999997</v>
      </c>
      <c r="R56">
        <v>4.4910702999999996</v>
      </c>
      <c r="S56">
        <v>1.6476687999999999</v>
      </c>
      <c r="T56">
        <v>10.075754999999999</v>
      </c>
      <c r="U56">
        <v>10599.678</v>
      </c>
      <c r="V56">
        <v>4644.3325000000004</v>
      </c>
      <c r="W56">
        <v>21075.243999999999</v>
      </c>
      <c r="X56">
        <v>7833</v>
      </c>
    </row>
    <row r="57" spans="1:24" x14ac:dyDescent="0.2">
      <c r="A57" t="s">
        <v>181</v>
      </c>
      <c r="B57" t="s">
        <v>331</v>
      </c>
      <c r="C57">
        <v>108</v>
      </c>
      <c r="D57">
        <v>1</v>
      </c>
      <c r="E57">
        <v>9974634</v>
      </c>
      <c r="F57">
        <v>276581</v>
      </c>
      <c r="G57">
        <v>188402</v>
      </c>
      <c r="H57">
        <v>403229</v>
      </c>
      <c r="I57">
        <v>844925</v>
      </c>
      <c r="J57">
        <v>613842</v>
      </c>
      <c r="K57">
        <v>1152883</v>
      </c>
      <c r="L57">
        <v>294963.67731</v>
      </c>
      <c r="M57">
        <v>197181.30926400001</v>
      </c>
      <c r="N57">
        <v>416101.68745700002</v>
      </c>
      <c r="O57">
        <v>90.124434726399997</v>
      </c>
      <c r="P57">
        <v>4.1202929244900002</v>
      </c>
      <c r="Q57">
        <v>258.41012769899999</v>
      </c>
      <c r="R57">
        <v>43.798706000000003</v>
      </c>
      <c r="S57">
        <v>15.858796999999999</v>
      </c>
      <c r="T57">
        <v>99.234436000000002</v>
      </c>
      <c r="U57">
        <v>103371.85</v>
      </c>
      <c r="V57">
        <v>44471.875</v>
      </c>
      <c r="W57">
        <v>207282.3</v>
      </c>
      <c r="X57">
        <v>41724</v>
      </c>
    </row>
    <row r="58" spans="1:24" x14ac:dyDescent="0.2">
      <c r="A58" t="s">
        <v>182</v>
      </c>
      <c r="B58" t="s">
        <v>332</v>
      </c>
      <c r="C58">
        <v>111</v>
      </c>
      <c r="D58">
        <v>1</v>
      </c>
      <c r="E58">
        <v>7616616.5</v>
      </c>
      <c r="F58">
        <v>209834</v>
      </c>
      <c r="G58">
        <v>149848</v>
      </c>
      <c r="H58">
        <v>291525</v>
      </c>
      <c r="I58">
        <v>641409</v>
      </c>
      <c r="J58">
        <v>483737</v>
      </c>
      <c r="K58">
        <v>841072</v>
      </c>
      <c r="L58">
        <v>206673.28782100001</v>
      </c>
      <c r="M58">
        <v>132174.85520699999</v>
      </c>
      <c r="N58">
        <v>301363.28943499998</v>
      </c>
      <c r="O58">
        <v>96.956338994399999</v>
      </c>
      <c r="P58">
        <v>14.035615376499999</v>
      </c>
      <c r="Q58">
        <v>184.32712886799999</v>
      </c>
      <c r="R58">
        <v>30.929010000000002</v>
      </c>
      <c r="S58">
        <v>4.1562719000000001</v>
      </c>
      <c r="T58">
        <v>103.13623</v>
      </c>
      <c r="U58">
        <v>171419.81</v>
      </c>
      <c r="V58">
        <v>72618.476999999999</v>
      </c>
      <c r="W58">
        <v>348433.53</v>
      </c>
      <c r="X58">
        <v>116127</v>
      </c>
    </row>
    <row r="59" spans="1:24" x14ac:dyDescent="0.2">
      <c r="A59" t="s">
        <v>256</v>
      </c>
      <c r="B59" t="s">
        <v>333</v>
      </c>
      <c r="C59">
        <v>33364</v>
      </c>
      <c r="D59">
        <v>3</v>
      </c>
      <c r="E59" t="s">
        <v>128</v>
      </c>
      <c r="F59">
        <v>304782</v>
      </c>
      <c r="G59">
        <v>184690</v>
      </c>
      <c r="H59">
        <v>475819</v>
      </c>
      <c r="I59">
        <v>924234</v>
      </c>
      <c r="J59">
        <v>613579</v>
      </c>
      <c r="K59">
        <v>1342712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 t="s">
        <v>569</v>
      </c>
      <c r="S59" t="s">
        <v>569</v>
      </c>
      <c r="T59" t="s">
        <v>569</v>
      </c>
      <c r="U59" t="s">
        <v>569</v>
      </c>
      <c r="V59" t="s">
        <v>569</v>
      </c>
      <c r="W59" t="s">
        <v>569</v>
      </c>
      <c r="X59" t="s">
        <v>569</v>
      </c>
    </row>
    <row r="60" spans="1:24" x14ac:dyDescent="0.2">
      <c r="A60" t="s">
        <v>183</v>
      </c>
      <c r="B60" t="s">
        <v>281</v>
      </c>
      <c r="C60">
        <v>115</v>
      </c>
      <c r="D60">
        <v>3</v>
      </c>
      <c r="E60">
        <v>1224838016</v>
      </c>
      <c r="F60">
        <v>32541392</v>
      </c>
      <c r="G60">
        <v>23809852</v>
      </c>
      <c r="H60">
        <v>44196670</v>
      </c>
      <c r="I60">
        <v>99692319</v>
      </c>
      <c r="J60">
        <v>76480648</v>
      </c>
      <c r="K60">
        <v>128730948</v>
      </c>
      <c r="L60">
        <v>53210706.217600003</v>
      </c>
      <c r="M60">
        <v>31478252.728500001</v>
      </c>
      <c r="N60">
        <v>82244003.651600003</v>
      </c>
      <c r="O60">
        <v>22527.0485486</v>
      </c>
      <c r="P60">
        <v>3363.1653980599999</v>
      </c>
      <c r="Q60">
        <v>32837.027126499997</v>
      </c>
      <c r="R60">
        <v>1601.6799000000001</v>
      </c>
      <c r="S60">
        <v>545.26898000000006</v>
      </c>
      <c r="T60">
        <v>3943.8701000000001</v>
      </c>
      <c r="U60">
        <v>18617104</v>
      </c>
      <c r="V60">
        <v>8139554</v>
      </c>
      <c r="W60">
        <v>37051172</v>
      </c>
      <c r="X60">
        <v>11747836</v>
      </c>
    </row>
    <row r="61" spans="1:24" x14ac:dyDescent="0.2">
      <c r="A61" t="s">
        <v>267</v>
      </c>
      <c r="B61" t="s">
        <v>334</v>
      </c>
      <c r="C61">
        <v>1013696</v>
      </c>
      <c r="D61">
        <v>3</v>
      </c>
      <c r="E61">
        <v>242179200</v>
      </c>
      <c r="F61">
        <v>7590213</v>
      </c>
      <c r="G61">
        <v>4798222</v>
      </c>
      <c r="H61">
        <v>11944976</v>
      </c>
      <c r="I61">
        <v>23009108</v>
      </c>
      <c r="J61">
        <v>15724054</v>
      </c>
      <c r="K61">
        <v>33745901</v>
      </c>
      <c r="L61">
        <v>10683318.471899999</v>
      </c>
      <c r="M61">
        <v>6297160.26358</v>
      </c>
      <c r="N61">
        <v>16554238.5689</v>
      </c>
      <c r="O61">
        <v>5623.8716304299996</v>
      </c>
      <c r="P61">
        <v>896.07554469599995</v>
      </c>
      <c r="Q61">
        <v>8291.8334840700008</v>
      </c>
      <c r="R61">
        <v>2984.7312000000002</v>
      </c>
      <c r="S61">
        <v>954.81688999999994</v>
      </c>
      <c r="T61">
        <v>7537.9727000000003</v>
      </c>
      <c r="U61">
        <v>11086055</v>
      </c>
      <c r="V61">
        <v>3866355.3</v>
      </c>
      <c r="W61">
        <v>24968358</v>
      </c>
      <c r="X61">
        <v>8798447</v>
      </c>
    </row>
    <row r="62" spans="1:24" x14ac:dyDescent="0.2">
      <c r="A62" t="s">
        <v>184</v>
      </c>
      <c r="B62" t="s">
        <v>335</v>
      </c>
      <c r="C62">
        <v>123</v>
      </c>
      <c r="D62">
        <v>1</v>
      </c>
      <c r="E62">
        <v>2772291.5</v>
      </c>
      <c r="F62">
        <v>90807</v>
      </c>
      <c r="G62">
        <v>61553</v>
      </c>
      <c r="H62">
        <v>132005</v>
      </c>
      <c r="I62">
        <v>275459</v>
      </c>
      <c r="J62">
        <v>199486</v>
      </c>
      <c r="K62">
        <v>376774</v>
      </c>
      <c r="L62">
        <v>77330.614949800001</v>
      </c>
      <c r="M62">
        <v>52205.7672551</v>
      </c>
      <c r="N62">
        <v>108579.863451</v>
      </c>
      <c r="O62">
        <v>1.1048107953399999</v>
      </c>
      <c r="P62">
        <v>0.21974414101500001</v>
      </c>
      <c r="Q62">
        <v>2.3188335495599999</v>
      </c>
      <c r="R62">
        <v>28.158799999999999</v>
      </c>
      <c r="S62">
        <v>9.8137711999999997</v>
      </c>
      <c r="T62">
        <v>64.820023000000006</v>
      </c>
      <c r="U62">
        <v>66458.148000000001</v>
      </c>
      <c r="V62">
        <v>27647.317999999999</v>
      </c>
      <c r="W62">
        <v>136164.64000000001</v>
      </c>
      <c r="X62">
        <v>49315</v>
      </c>
    </row>
    <row r="63" spans="1:24" x14ac:dyDescent="0.2">
      <c r="A63" t="s">
        <v>185</v>
      </c>
      <c r="B63" t="s">
        <v>337</v>
      </c>
      <c r="C63">
        <v>133</v>
      </c>
      <c r="D63">
        <v>2</v>
      </c>
      <c r="E63">
        <v>40530580</v>
      </c>
      <c r="F63">
        <v>583960</v>
      </c>
      <c r="G63">
        <v>376348</v>
      </c>
      <c r="H63">
        <v>843317</v>
      </c>
      <c r="I63">
        <v>1807001</v>
      </c>
      <c r="J63">
        <v>1234459</v>
      </c>
      <c r="K63">
        <v>2461954</v>
      </c>
      <c r="L63">
        <v>375457.63620000001</v>
      </c>
      <c r="M63">
        <v>226870.73749900001</v>
      </c>
      <c r="N63">
        <v>578187.918572</v>
      </c>
      <c r="O63">
        <v>6.4684103766399996</v>
      </c>
      <c r="P63">
        <v>0.88578349951500002</v>
      </c>
      <c r="Q63">
        <v>20.957158304099998</v>
      </c>
      <c r="R63">
        <v>18.457148</v>
      </c>
      <c r="S63">
        <v>2.6007991000000001</v>
      </c>
      <c r="T63">
        <v>63.964348000000001</v>
      </c>
      <c r="U63">
        <v>43480.038999999997</v>
      </c>
      <c r="V63">
        <v>7034.3095999999996</v>
      </c>
      <c r="W63">
        <v>146172.75</v>
      </c>
      <c r="X63">
        <v>28500</v>
      </c>
    </row>
    <row r="64" spans="1:24" x14ac:dyDescent="0.2">
      <c r="A64" t="s">
        <v>186</v>
      </c>
      <c r="B64" t="s">
        <v>338</v>
      </c>
      <c r="C64">
        <v>135</v>
      </c>
      <c r="D64">
        <v>4</v>
      </c>
      <c r="E64">
        <v>99541.460940000004</v>
      </c>
      <c r="F64">
        <v>2173</v>
      </c>
      <c r="G64">
        <v>1215</v>
      </c>
      <c r="H64">
        <v>3475</v>
      </c>
      <c r="I64">
        <v>6712</v>
      </c>
      <c r="J64">
        <v>4170</v>
      </c>
      <c r="K64">
        <v>9958</v>
      </c>
      <c r="L64">
        <v>1198.7169159</v>
      </c>
      <c r="M64">
        <v>825.01632978299995</v>
      </c>
      <c r="N64">
        <v>1657.7484353299999</v>
      </c>
      <c r="O64">
        <v>8.5614730318000001E-2</v>
      </c>
      <c r="P64">
        <v>6.9120492811E-3</v>
      </c>
      <c r="Q64">
        <v>0.59643491685899996</v>
      </c>
      <c r="R64">
        <v>0.55910546000000005</v>
      </c>
      <c r="S64">
        <v>0.20505772999999999</v>
      </c>
      <c r="T64">
        <v>1.2544107</v>
      </c>
      <c r="U64">
        <v>1319.5824</v>
      </c>
      <c r="V64">
        <v>577.94079999999997</v>
      </c>
      <c r="W64">
        <v>2624.1975000000002</v>
      </c>
      <c r="X64">
        <v>903</v>
      </c>
    </row>
    <row r="65" spans="1:24" x14ac:dyDescent="0.2">
      <c r="A65" t="s">
        <v>187</v>
      </c>
      <c r="B65" t="s">
        <v>339</v>
      </c>
      <c r="C65">
        <v>138</v>
      </c>
      <c r="D65">
        <v>3</v>
      </c>
      <c r="E65">
        <v>5461917</v>
      </c>
      <c r="F65">
        <v>11135</v>
      </c>
      <c r="G65">
        <v>3300</v>
      </c>
      <c r="H65">
        <v>22437</v>
      </c>
      <c r="I65">
        <v>35093</v>
      </c>
      <c r="J65">
        <v>12827</v>
      </c>
      <c r="K65">
        <v>63199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2.9345881999999999</v>
      </c>
      <c r="S65">
        <v>0.47930022999999999</v>
      </c>
      <c r="T65">
        <v>9.4767513000000001</v>
      </c>
      <c r="U65">
        <v>6916.1143000000002</v>
      </c>
      <c r="V65">
        <v>1323.0872999999999</v>
      </c>
      <c r="W65">
        <v>21749.18</v>
      </c>
      <c r="X65">
        <v>2531</v>
      </c>
    </row>
    <row r="66" spans="1:24" x14ac:dyDescent="0.2">
      <c r="A66" t="s">
        <v>188</v>
      </c>
      <c r="B66" t="s">
        <v>340</v>
      </c>
      <c r="C66">
        <v>139</v>
      </c>
      <c r="D66">
        <v>3</v>
      </c>
      <c r="E66">
        <v>6265731.5</v>
      </c>
      <c r="F66">
        <v>124006</v>
      </c>
      <c r="G66">
        <v>79970</v>
      </c>
      <c r="H66">
        <v>178093</v>
      </c>
      <c r="I66">
        <v>383905</v>
      </c>
      <c r="J66">
        <v>263083</v>
      </c>
      <c r="K66">
        <v>521000</v>
      </c>
      <c r="L66">
        <v>67476.904139499995</v>
      </c>
      <c r="M66">
        <v>46631.833418399998</v>
      </c>
      <c r="N66">
        <v>92873.016050599996</v>
      </c>
      <c r="O66">
        <v>29.1102779657</v>
      </c>
      <c r="P66">
        <v>3.8972414510100002</v>
      </c>
      <c r="Q66">
        <v>92.524394832599995</v>
      </c>
      <c r="R66">
        <v>30.992231</v>
      </c>
      <c r="S66">
        <v>5.2575693000000001</v>
      </c>
      <c r="T66">
        <v>95.693175999999994</v>
      </c>
      <c r="U66">
        <v>98841.710999999996</v>
      </c>
      <c r="V66">
        <v>43240.483999999997</v>
      </c>
      <c r="W66">
        <v>196660.09</v>
      </c>
      <c r="X66">
        <v>59154</v>
      </c>
    </row>
    <row r="67" spans="1:24" x14ac:dyDescent="0.2">
      <c r="A67" t="s">
        <v>189</v>
      </c>
      <c r="B67" t="s">
        <v>341</v>
      </c>
      <c r="C67">
        <v>144</v>
      </c>
      <c r="D67">
        <v>2</v>
      </c>
      <c r="E67">
        <v>3950611.125</v>
      </c>
      <c r="F67">
        <v>98678</v>
      </c>
      <c r="G67">
        <v>65906</v>
      </c>
      <c r="H67">
        <v>140777</v>
      </c>
      <c r="I67">
        <v>304137</v>
      </c>
      <c r="J67">
        <v>216716</v>
      </c>
      <c r="K67">
        <v>408522</v>
      </c>
      <c r="L67">
        <v>53256.6131398</v>
      </c>
      <c r="M67">
        <v>35333.014229499997</v>
      </c>
      <c r="N67">
        <v>75566.585096399998</v>
      </c>
      <c r="O67">
        <v>1.71545236237</v>
      </c>
      <c r="P67">
        <v>0.109510925749</v>
      </c>
      <c r="Q67">
        <v>7.7866026139500004</v>
      </c>
      <c r="R67">
        <v>19.778027999999999</v>
      </c>
      <c r="S67">
        <v>7.2047482</v>
      </c>
      <c r="T67">
        <v>44.562491999999999</v>
      </c>
      <c r="U67">
        <v>46679.362999999998</v>
      </c>
      <c r="V67">
        <v>20243.669999999998</v>
      </c>
      <c r="W67">
        <v>93227.101999999999</v>
      </c>
      <c r="X67">
        <v>25160</v>
      </c>
    </row>
    <row r="68" spans="1:24" x14ac:dyDescent="0.2">
      <c r="A68" t="s">
        <v>190</v>
      </c>
      <c r="B68" t="s">
        <v>342</v>
      </c>
      <c r="C68">
        <v>149</v>
      </c>
      <c r="D68">
        <v>3</v>
      </c>
      <c r="E68" t="s">
        <v>128</v>
      </c>
      <c r="F68">
        <v>23158</v>
      </c>
      <c r="G68">
        <v>6626</v>
      </c>
      <c r="H68">
        <v>52502</v>
      </c>
      <c r="I68">
        <v>69833</v>
      </c>
      <c r="J68">
        <v>26037</v>
      </c>
      <c r="K68">
        <v>140928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t="s">
        <v>569</v>
      </c>
      <c r="S68" t="s">
        <v>569</v>
      </c>
      <c r="T68" t="s">
        <v>569</v>
      </c>
      <c r="U68" t="s">
        <v>569</v>
      </c>
      <c r="V68" t="s">
        <v>569</v>
      </c>
      <c r="W68" t="s">
        <v>569</v>
      </c>
      <c r="X68" t="s">
        <v>569</v>
      </c>
    </row>
    <row r="69" spans="1:24" x14ac:dyDescent="0.2">
      <c r="A69" t="s">
        <v>191</v>
      </c>
      <c r="B69" t="s">
        <v>343</v>
      </c>
      <c r="C69">
        <v>150</v>
      </c>
      <c r="D69">
        <v>2</v>
      </c>
      <c r="E69">
        <v>21094225</v>
      </c>
      <c r="F69">
        <v>264443</v>
      </c>
      <c r="G69">
        <v>159191</v>
      </c>
      <c r="H69">
        <v>393246</v>
      </c>
      <c r="I69">
        <v>821514</v>
      </c>
      <c r="J69">
        <v>526343</v>
      </c>
      <c r="K69">
        <v>1148447</v>
      </c>
      <c r="L69">
        <v>143757.344132</v>
      </c>
      <c r="M69">
        <v>75178.566686499995</v>
      </c>
      <c r="N69">
        <v>242183.93027400001</v>
      </c>
      <c r="O69">
        <v>5.4610556069999996</v>
      </c>
      <c r="P69">
        <v>0.31803649701100001</v>
      </c>
      <c r="Q69">
        <v>19.8957755361</v>
      </c>
      <c r="R69">
        <v>26.650230000000001</v>
      </c>
      <c r="S69">
        <v>6.6119431999999998</v>
      </c>
      <c r="T69">
        <v>70.247298999999998</v>
      </c>
      <c r="U69">
        <v>62870.949000000001</v>
      </c>
      <c r="V69">
        <v>17775.684000000001</v>
      </c>
      <c r="W69">
        <v>156868.19</v>
      </c>
      <c r="X69">
        <v>34734</v>
      </c>
    </row>
    <row r="70" spans="1:24" x14ac:dyDescent="0.2">
      <c r="A70" t="s">
        <v>192</v>
      </c>
      <c r="B70" t="s">
        <v>344</v>
      </c>
      <c r="C70">
        <v>152</v>
      </c>
      <c r="D70">
        <v>2</v>
      </c>
      <c r="E70">
        <v>14781160.5</v>
      </c>
      <c r="F70">
        <v>220050</v>
      </c>
      <c r="G70">
        <v>139738</v>
      </c>
      <c r="H70">
        <v>319955</v>
      </c>
      <c r="I70">
        <v>680097</v>
      </c>
      <c r="J70">
        <v>461604</v>
      </c>
      <c r="K70">
        <v>931479</v>
      </c>
      <c r="L70">
        <v>113612.461092</v>
      </c>
      <c r="M70">
        <v>62239.997832000001</v>
      </c>
      <c r="N70">
        <v>185070.756134</v>
      </c>
      <c r="O70">
        <v>3.7356872192199999</v>
      </c>
      <c r="P70">
        <v>0.27099186683900001</v>
      </c>
      <c r="Q70">
        <v>14.985508680800001</v>
      </c>
      <c r="R70">
        <v>29.261789</v>
      </c>
      <c r="S70">
        <v>8.5836886999999997</v>
      </c>
      <c r="T70">
        <v>71.997344999999996</v>
      </c>
      <c r="U70">
        <v>69050.858999999997</v>
      </c>
      <c r="V70">
        <v>23770.752</v>
      </c>
      <c r="W70">
        <v>156807.25</v>
      </c>
      <c r="X70">
        <v>53686</v>
      </c>
    </row>
    <row r="71" spans="1:24" x14ac:dyDescent="0.2">
      <c r="A71" t="s">
        <v>193</v>
      </c>
      <c r="B71" t="s">
        <v>345</v>
      </c>
      <c r="C71">
        <v>153</v>
      </c>
      <c r="D71">
        <v>3</v>
      </c>
      <c r="E71">
        <v>28205864</v>
      </c>
      <c r="F71">
        <v>983619</v>
      </c>
      <c r="G71">
        <v>546225</v>
      </c>
      <c r="H71">
        <v>1746771</v>
      </c>
      <c r="I71">
        <v>2969671</v>
      </c>
      <c r="J71">
        <v>1817360</v>
      </c>
      <c r="K71">
        <v>4835731</v>
      </c>
      <c r="L71">
        <v>1125523.2976599999</v>
      </c>
      <c r="M71">
        <v>691011.58150600002</v>
      </c>
      <c r="N71">
        <v>1690626.7622700001</v>
      </c>
      <c r="O71">
        <v>446.49553261599999</v>
      </c>
      <c r="P71">
        <v>190.96983622400001</v>
      </c>
      <c r="Q71">
        <v>766.00535581700001</v>
      </c>
      <c r="R71">
        <v>162.49214000000001</v>
      </c>
      <c r="S71">
        <v>42.950431999999999</v>
      </c>
      <c r="T71">
        <v>434.83715999999998</v>
      </c>
      <c r="U71">
        <v>1078676.8</v>
      </c>
      <c r="V71">
        <v>401353.25</v>
      </c>
      <c r="W71">
        <v>2357488.7999999998</v>
      </c>
      <c r="X71">
        <v>804568</v>
      </c>
    </row>
    <row r="72" spans="1:24" x14ac:dyDescent="0.2">
      <c r="A72" t="s">
        <v>194</v>
      </c>
      <c r="B72" t="s">
        <v>346</v>
      </c>
      <c r="C72">
        <v>154</v>
      </c>
      <c r="D72">
        <v>3</v>
      </c>
      <c r="E72">
        <v>333133.4375</v>
      </c>
      <c r="F72">
        <v>6372</v>
      </c>
      <c r="G72">
        <v>2557</v>
      </c>
      <c r="H72">
        <v>13981</v>
      </c>
      <c r="I72">
        <v>19735</v>
      </c>
      <c r="J72">
        <v>9298</v>
      </c>
      <c r="K72">
        <v>38567</v>
      </c>
      <c r="L72">
        <v>8570.9516491699997</v>
      </c>
      <c r="M72">
        <v>5252.0703457099999</v>
      </c>
      <c r="N72">
        <v>12891.865467899999</v>
      </c>
      <c r="O72">
        <v>6.0048840159400001</v>
      </c>
      <c r="P72">
        <v>2.4110733569099998</v>
      </c>
      <c r="Q72">
        <v>9.6475125264399999</v>
      </c>
      <c r="R72">
        <v>1.6111709999999999</v>
      </c>
      <c r="S72">
        <v>0.58740460999999999</v>
      </c>
      <c r="T72">
        <v>3.6274242000000001</v>
      </c>
      <c r="U72">
        <v>3802.6266999999998</v>
      </c>
      <c r="V72">
        <v>1651.2102</v>
      </c>
      <c r="W72">
        <v>7590.3402999999998</v>
      </c>
      <c r="X72">
        <v>2577</v>
      </c>
    </row>
    <row r="73" spans="1:24" x14ac:dyDescent="0.2">
      <c r="A73" t="s">
        <v>195</v>
      </c>
      <c r="B73" t="s">
        <v>347</v>
      </c>
      <c r="C73">
        <v>155</v>
      </c>
      <c r="D73">
        <v>2</v>
      </c>
      <c r="E73">
        <v>14989276</v>
      </c>
      <c r="F73">
        <v>194903</v>
      </c>
      <c r="G73">
        <v>125686</v>
      </c>
      <c r="H73">
        <v>281231</v>
      </c>
      <c r="I73">
        <v>602552</v>
      </c>
      <c r="J73">
        <v>411989</v>
      </c>
      <c r="K73">
        <v>820354</v>
      </c>
      <c r="L73">
        <v>82658.196783000007</v>
      </c>
      <c r="M73">
        <v>38439.323327899998</v>
      </c>
      <c r="N73">
        <v>149336.46867500001</v>
      </c>
      <c r="O73">
        <v>4.3953571229500001</v>
      </c>
      <c r="P73">
        <v>0.189263999494</v>
      </c>
      <c r="Q73">
        <v>17.750338271499999</v>
      </c>
      <c r="R73">
        <v>30.471316999999999</v>
      </c>
      <c r="S73">
        <v>9.3487358</v>
      </c>
      <c r="T73">
        <v>73.994827000000001</v>
      </c>
      <c r="U73">
        <v>71908.148000000001</v>
      </c>
      <c r="V73">
        <v>25755.508000000002</v>
      </c>
      <c r="W73">
        <v>159599.92000000001</v>
      </c>
      <c r="X73">
        <v>21609</v>
      </c>
    </row>
    <row r="74" spans="1:24" x14ac:dyDescent="0.2">
      <c r="A74" t="s">
        <v>196</v>
      </c>
      <c r="B74" t="s">
        <v>348</v>
      </c>
      <c r="C74">
        <v>157</v>
      </c>
      <c r="D74">
        <v>4</v>
      </c>
      <c r="E74">
        <v>66551.146479999996</v>
      </c>
      <c r="F74">
        <v>1891</v>
      </c>
      <c r="G74">
        <v>757</v>
      </c>
      <c r="H74">
        <v>4195</v>
      </c>
      <c r="I74">
        <v>5774</v>
      </c>
      <c r="J74">
        <v>2687</v>
      </c>
      <c r="K74">
        <v>11424</v>
      </c>
      <c r="L74">
        <v>1790.7243400100001</v>
      </c>
      <c r="M74">
        <v>1145.46339081</v>
      </c>
      <c r="N74">
        <v>2610.7774952</v>
      </c>
      <c r="O74">
        <v>7.2685764544600004E-2</v>
      </c>
      <c r="P74">
        <v>2.5469702376600001E-2</v>
      </c>
      <c r="Q74">
        <v>0.13546855989600001</v>
      </c>
      <c r="R74">
        <v>0.74356860000000002</v>
      </c>
      <c r="S74">
        <v>0.25581651999999999</v>
      </c>
      <c r="T74">
        <v>1.7145302</v>
      </c>
      <c r="U74">
        <v>1754.8982000000001</v>
      </c>
      <c r="V74">
        <v>717.66785000000004</v>
      </c>
      <c r="W74">
        <v>3623.8982000000001</v>
      </c>
      <c r="X74">
        <v>1289</v>
      </c>
    </row>
    <row r="75" spans="1:24" x14ac:dyDescent="0.2">
      <c r="A75" t="s">
        <v>197</v>
      </c>
      <c r="B75" t="s">
        <v>349</v>
      </c>
      <c r="C75">
        <v>158</v>
      </c>
      <c r="D75">
        <v>1</v>
      </c>
      <c r="E75" t="s">
        <v>128</v>
      </c>
      <c r="F75">
        <v>14845</v>
      </c>
      <c r="G75">
        <v>8099</v>
      </c>
      <c r="H75">
        <v>25136</v>
      </c>
      <c r="I75">
        <v>44766</v>
      </c>
      <c r="J75">
        <v>27271</v>
      </c>
      <c r="K75">
        <v>69900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2.5946859999999998</v>
      </c>
      <c r="S75">
        <v>0.78582978000000003</v>
      </c>
      <c r="T75">
        <v>6.3301543999999996</v>
      </c>
      <c r="U75">
        <v>6121.3964999999998</v>
      </c>
      <c r="V75">
        <v>2179.5576000000001</v>
      </c>
      <c r="W75">
        <v>14338.862999999999</v>
      </c>
      <c r="X75">
        <v>4408</v>
      </c>
    </row>
    <row r="76" spans="1:24" x14ac:dyDescent="0.2">
      <c r="A76" t="s">
        <v>198</v>
      </c>
      <c r="B76" t="s">
        <v>350</v>
      </c>
      <c r="C76">
        <v>159</v>
      </c>
      <c r="D76">
        <v>2</v>
      </c>
      <c r="E76">
        <v>3604323.625</v>
      </c>
      <c r="F76">
        <v>27859</v>
      </c>
      <c r="G76">
        <v>14145</v>
      </c>
      <c r="H76">
        <v>44508</v>
      </c>
      <c r="I76">
        <v>86922</v>
      </c>
      <c r="J76">
        <v>48185</v>
      </c>
      <c r="K76">
        <v>129140</v>
      </c>
      <c r="L76">
        <v>14823.6488716</v>
      </c>
      <c r="M76">
        <v>6001.9235011299997</v>
      </c>
      <c r="N76">
        <v>29363.600013899999</v>
      </c>
      <c r="O76">
        <v>0.23325818845900001</v>
      </c>
      <c r="P76">
        <v>2.4912735919499999E-2</v>
      </c>
      <c r="Q76">
        <v>0.67982447888300002</v>
      </c>
      <c r="R76">
        <v>4.0954094000000003</v>
      </c>
      <c r="S76">
        <v>0.97289228000000005</v>
      </c>
      <c r="T76">
        <v>10.998746000000001</v>
      </c>
      <c r="U76">
        <v>9660.6396000000004</v>
      </c>
      <c r="V76">
        <v>2578.5154000000002</v>
      </c>
      <c r="W76">
        <v>25140.561000000002</v>
      </c>
      <c r="X76">
        <v>5049</v>
      </c>
    </row>
    <row r="77" spans="1:24" x14ac:dyDescent="0.2">
      <c r="A77" t="s">
        <v>199</v>
      </c>
      <c r="B77" t="s">
        <v>351</v>
      </c>
      <c r="C77">
        <v>160</v>
      </c>
      <c r="D77">
        <v>2</v>
      </c>
      <c r="E77">
        <v>1244094.8130000001</v>
      </c>
      <c r="F77">
        <v>44471</v>
      </c>
      <c r="G77">
        <v>28232</v>
      </c>
      <c r="H77">
        <v>68107</v>
      </c>
      <c r="I77">
        <v>134755</v>
      </c>
      <c r="J77">
        <v>92595</v>
      </c>
      <c r="K77">
        <v>192540</v>
      </c>
      <c r="L77">
        <v>21924.426416499999</v>
      </c>
      <c r="M77">
        <v>14909.325223</v>
      </c>
      <c r="N77">
        <v>30607.0074117</v>
      </c>
      <c r="O77">
        <v>1.0685011906900001E-2</v>
      </c>
      <c r="P77">
        <v>4.4530125303400003E-3</v>
      </c>
      <c r="Q77">
        <v>1.95072325682E-2</v>
      </c>
      <c r="R77">
        <v>13.754771</v>
      </c>
      <c r="S77">
        <v>4.7155608999999998</v>
      </c>
      <c r="T77">
        <v>31.796894000000002</v>
      </c>
      <c r="U77">
        <v>32462.601999999999</v>
      </c>
      <c r="V77">
        <v>13214.009</v>
      </c>
      <c r="W77">
        <v>67178.070000000007</v>
      </c>
      <c r="X77">
        <v>20437</v>
      </c>
    </row>
    <row r="78" spans="1:24" x14ac:dyDescent="0.2">
      <c r="A78" t="s">
        <v>200</v>
      </c>
      <c r="B78" t="s">
        <v>352</v>
      </c>
      <c r="C78">
        <v>161</v>
      </c>
      <c r="D78">
        <v>2</v>
      </c>
      <c r="E78" t="s">
        <v>128</v>
      </c>
      <c r="F78">
        <v>4049</v>
      </c>
      <c r="G78">
        <v>1886</v>
      </c>
      <c r="H78">
        <v>7286</v>
      </c>
      <c r="I78">
        <v>12445</v>
      </c>
      <c r="J78">
        <v>6734</v>
      </c>
      <c r="K78">
        <v>20417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0.49935147000000002</v>
      </c>
      <c r="S78">
        <v>0.15781561</v>
      </c>
      <c r="T78">
        <v>1.1956836</v>
      </c>
      <c r="U78">
        <v>1178.4438</v>
      </c>
      <c r="V78">
        <v>438.27663999999999</v>
      </c>
      <c r="W78">
        <v>2576.4277000000002</v>
      </c>
      <c r="X78">
        <v>703</v>
      </c>
    </row>
    <row r="79" spans="1:24" x14ac:dyDescent="0.2">
      <c r="A79" t="s">
        <v>260</v>
      </c>
      <c r="B79" t="s">
        <v>353</v>
      </c>
      <c r="C79">
        <v>1006344</v>
      </c>
      <c r="D79">
        <v>1</v>
      </c>
      <c r="E79">
        <v>118529272</v>
      </c>
      <c r="F79">
        <v>1987320</v>
      </c>
      <c r="G79">
        <v>1422381</v>
      </c>
      <c r="H79">
        <v>2730919</v>
      </c>
      <c r="I79">
        <v>6102891</v>
      </c>
      <c r="J79">
        <v>4582683</v>
      </c>
      <c r="K79">
        <v>7964033</v>
      </c>
      <c r="L79">
        <v>1322804.82966</v>
      </c>
      <c r="M79">
        <v>836875.07074800006</v>
      </c>
      <c r="N79">
        <v>1957514.9566200001</v>
      </c>
      <c r="O79">
        <v>148.141149466</v>
      </c>
      <c r="P79">
        <v>104.630741504</v>
      </c>
      <c r="Q79">
        <v>175.31979556600001</v>
      </c>
      <c r="R79">
        <v>98.256805</v>
      </c>
      <c r="S79">
        <v>8.4690971000000008</v>
      </c>
      <c r="T79">
        <v>448.96807999999999</v>
      </c>
      <c r="U79">
        <v>663160.93999999994</v>
      </c>
      <c r="V79">
        <v>261248.34</v>
      </c>
      <c r="W79">
        <v>1433817.1</v>
      </c>
      <c r="X79">
        <v>489590</v>
      </c>
    </row>
    <row r="80" spans="1:24" x14ac:dyDescent="0.2">
      <c r="A80" t="s">
        <v>201</v>
      </c>
      <c r="B80" t="s">
        <v>354</v>
      </c>
      <c r="C80">
        <v>163</v>
      </c>
      <c r="D80">
        <v>4</v>
      </c>
      <c r="E80">
        <v>104396.4375</v>
      </c>
      <c r="F80">
        <v>3567</v>
      </c>
      <c r="G80">
        <v>2158</v>
      </c>
      <c r="H80">
        <v>5701</v>
      </c>
      <c r="I80">
        <v>10872</v>
      </c>
      <c r="J80">
        <v>7153</v>
      </c>
      <c r="K80">
        <v>16136</v>
      </c>
      <c r="L80">
        <v>2028.49071506</v>
      </c>
      <c r="M80">
        <v>1330.2563001399999</v>
      </c>
      <c r="N80">
        <v>2903.6967907399999</v>
      </c>
      <c r="O80">
        <v>8.9338008577500003E-2</v>
      </c>
      <c r="P80">
        <v>4.0803676882999997E-2</v>
      </c>
      <c r="Q80">
        <v>0.17352286443699999</v>
      </c>
      <c r="R80">
        <v>2.0878201000000001</v>
      </c>
      <c r="S80">
        <v>0.60722911000000002</v>
      </c>
      <c r="T80">
        <v>5.1422749000000003</v>
      </c>
      <c r="U80">
        <v>4926.7147999999997</v>
      </c>
      <c r="V80">
        <v>1683.8373999999999</v>
      </c>
      <c r="W80">
        <v>11245.103999999999</v>
      </c>
      <c r="X80">
        <v>3651</v>
      </c>
    </row>
    <row r="81" spans="1:24" x14ac:dyDescent="0.2">
      <c r="A81" t="s">
        <v>202</v>
      </c>
      <c r="B81" t="s">
        <v>355</v>
      </c>
      <c r="C81">
        <v>168</v>
      </c>
      <c r="D81">
        <v>1</v>
      </c>
      <c r="E81" t="s">
        <v>128</v>
      </c>
      <c r="F81">
        <v>178</v>
      </c>
      <c r="G81">
        <v>73</v>
      </c>
      <c r="H81">
        <v>342</v>
      </c>
      <c r="I81">
        <v>545</v>
      </c>
      <c r="J81">
        <v>269</v>
      </c>
      <c r="K81">
        <v>952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3.5011067999999999E-2</v>
      </c>
      <c r="S81">
        <v>1.0603494999999999E-2</v>
      </c>
      <c r="T81">
        <v>8.5415140000000001E-2</v>
      </c>
      <c r="U81">
        <v>82.598288999999994</v>
      </c>
      <c r="V81">
        <v>29.409583999999999</v>
      </c>
      <c r="W81">
        <v>193.47963999999999</v>
      </c>
      <c r="X81">
        <v>59</v>
      </c>
    </row>
    <row r="82" spans="1:24" x14ac:dyDescent="0.2">
      <c r="A82" t="s">
        <v>203</v>
      </c>
      <c r="B82" t="s">
        <v>356</v>
      </c>
      <c r="C82">
        <v>170</v>
      </c>
      <c r="D82">
        <v>2</v>
      </c>
      <c r="E82">
        <v>24335417</v>
      </c>
      <c r="F82">
        <v>418090</v>
      </c>
      <c r="G82">
        <v>287800</v>
      </c>
      <c r="H82">
        <v>586770</v>
      </c>
      <c r="I82">
        <v>1285737</v>
      </c>
      <c r="J82">
        <v>935627</v>
      </c>
      <c r="K82">
        <v>1707800</v>
      </c>
      <c r="L82">
        <v>192368.49703900001</v>
      </c>
      <c r="M82">
        <v>107493.834408</v>
      </c>
      <c r="N82">
        <v>309141.97351600003</v>
      </c>
      <c r="O82">
        <v>9.1221002796799997</v>
      </c>
      <c r="P82">
        <v>0.51472380834800002</v>
      </c>
      <c r="Q82">
        <v>36.590079306</v>
      </c>
      <c r="R82">
        <v>40.227103999999997</v>
      </c>
      <c r="S82">
        <v>11.195050999999999</v>
      </c>
      <c r="T82">
        <v>99.933014</v>
      </c>
      <c r="U82">
        <v>94919.523000000001</v>
      </c>
      <c r="V82">
        <v>30921.557000000001</v>
      </c>
      <c r="W82">
        <v>220755.09</v>
      </c>
      <c r="X82">
        <v>50970</v>
      </c>
    </row>
    <row r="83" spans="1:24" x14ac:dyDescent="0.2">
      <c r="A83" t="s">
        <v>261</v>
      </c>
      <c r="B83" t="s">
        <v>357</v>
      </c>
      <c r="C83">
        <v>1011440</v>
      </c>
      <c r="D83">
        <v>3</v>
      </c>
      <c r="E83">
        <v>51180380</v>
      </c>
      <c r="F83">
        <v>992954</v>
      </c>
      <c r="G83">
        <v>669765</v>
      </c>
      <c r="H83">
        <v>1408977</v>
      </c>
      <c r="I83">
        <v>3056420</v>
      </c>
      <c r="J83">
        <v>2191868</v>
      </c>
      <c r="K83">
        <v>4098171</v>
      </c>
      <c r="L83">
        <v>438867.108335</v>
      </c>
      <c r="M83">
        <v>288723.78938700003</v>
      </c>
      <c r="N83">
        <v>626721.97939800005</v>
      </c>
      <c r="O83">
        <v>102.759902751</v>
      </c>
      <c r="P83">
        <v>20.2682239116</v>
      </c>
      <c r="Q83">
        <v>333.85041035</v>
      </c>
      <c r="R83">
        <v>311.92977999999999</v>
      </c>
      <c r="S83">
        <v>122.25233</v>
      </c>
      <c r="T83">
        <v>685.01757999999995</v>
      </c>
      <c r="U83">
        <v>581790.43999999994</v>
      </c>
      <c r="V83">
        <v>252341.53</v>
      </c>
      <c r="W83">
        <v>1161873.3999999999</v>
      </c>
      <c r="X83">
        <v>395655</v>
      </c>
    </row>
    <row r="84" spans="1:24" x14ac:dyDescent="0.2">
      <c r="A84" t="s">
        <v>204</v>
      </c>
      <c r="B84" t="s">
        <v>358</v>
      </c>
      <c r="C84">
        <v>173</v>
      </c>
      <c r="D84">
        <v>4</v>
      </c>
      <c r="E84" t="s">
        <v>128</v>
      </c>
      <c r="F84">
        <v>303</v>
      </c>
      <c r="G84">
        <v>62</v>
      </c>
      <c r="H84">
        <v>812</v>
      </c>
      <c r="I84">
        <v>915</v>
      </c>
      <c r="J84">
        <v>260</v>
      </c>
      <c r="K84">
        <v>2138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0.12879492000000001</v>
      </c>
      <c r="S84">
        <v>4.1959773999999998E-2</v>
      </c>
      <c r="T84">
        <v>0.30459106000000002</v>
      </c>
      <c r="U84">
        <v>303.95855999999998</v>
      </c>
      <c r="V84">
        <v>117.98475000000001</v>
      </c>
      <c r="W84">
        <v>645.39624000000003</v>
      </c>
      <c r="X84">
        <v>218</v>
      </c>
    </row>
    <row r="85" spans="1:24" x14ac:dyDescent="0.2">
      <c r="A85" t="s">
        <v>205</v>
      </c>
      <c r="B85" t="s">
        <v>359</v>
      </c>
      <c r="C85">
        <v>175</v>
      </c>
      <c r="D85">
        <v>3</v>
      </c>
      <c r="E85">
        <v>26896979</v>
      </c>
      <c r="F85">
        <v>571773</v>
      </c>
      <c r="G85">
        <v>377060</v>
      </c>
      <c r="H85">
        <v>813702</v>
      </c>
      <c r="I85">
        <v>1769014</v>
      </c>
      <c r="J85">
        <v>1232877</v>
      </c>
      <c r="K85">
        <v>2386338</v>
      </c>
      <c r="L85">
        <v>442673.165805</v>
      </c>
      <c r="M85">
        <v>304390.43102299998</v>
      </c>
      <c r="N85">
        <v>612839.21400100004</v>
      </c>
      <c r="O85">
        <v>166.74227169900001</v>
      </c>
      <c r="P85">
        <v>18.246295481299999</v>
      </c>
      <c r="Q85">
        <v>654.96934863499996</v>
      </c>
      <c r="R85">
        <v>95.787627999999998</v>
      </c>
      <c r="S85">
        <v>33.69558</v>
      </c>
      <c r="T85">
        <v>219.63852</v>
      </c>
      <c r="U85">
        <v>226071.3</v>
      </c>
      <c r="V85">
        <v>95000.991999999998</v>
      </c>
      <c r="W85">
        <v>460870.22</v>
      </c>
      <c r="X85">
        <v>118588</v>
      </c>
    </row>
    <row r="86" spans="1:24" x14ac:dyDescent="0.2">
      <c r="A86" t="s">
        <v>206</v>
      </c>
      <c r="B86" t="s">
        <v>360</v>
      </c>
      <c r="C86">
        <v>176</v>
      </c>
      <c r="D86">
        <v>1</v>
      </c>
      <c r="E86" t="s">
        <v>128</v>
      </c>
      <c r="F86">
        <v>6546</v>
      </c>
      <c r="G86">
        <v>3199</v>
      </c>
      <c r="H86">
        <v>11930</v>
      </c>
      <c r="I86">
        <v>19765</v>
      </c>
      <c r="J86">
        <v>10998</v>
      </c>
      <c r="K86">
        <v>32919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8.0490475000000004</v>
      </c>
      <c r="S86">
        <v>2.4377445999999998</v>
      </c>
      <c r="T86">
        <v>19.636948</v>
      </c>
      <c r="U86">
        <v>18989.355</v>
      </c>
      <c r="V86">
        <v>6761.2660999999998</v>
      </c>
      <c r="W86">
        <v>44480.987999999998</v>
      </c>
      <c r="X86">
        <v>14221</v>
      </c>
    </row>
    <row r="87" spans="1:24" x14ac:dyDescent="0.2">
      <c r="A87" t="s">
        <v>207</v>
      </c>
      <c r="B87" t="s">
        <v>361</v>
      </c>
      <c r="C87">
        <v>178</v>
      </c>
      <c r="D87">
        <v>4</v>
      </c>
      <c r="E87" t="s">
        <v>128</v>
      </c>
      <c r="F87">
        <v>7423</v>
      </c>
      <c r="G87">
        <v>3988</v>
      </c>
      <c r="H87">
        <v>12665</v>
      </c>
      <c r="I87">
        <v>22609</v>
      </c>
      <c r="J87">
        <v>13639</v>
      </c>
      <c r="K87">
        <v>35448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3.5565207000000001</v>
      </c>
      <c r="S87">
        <v>1.1586699</v>
      </c>
      <c r="T87">
        <v>8.4109248999999995</v>
      </c>
      <c r="U87">
        <v>8393.4590000000007</v>
      </c>
      <c r="V87">
        <v>3258.0106999999998</v>
      </c>
      <c r="W87">
        <v>17821.861000000001</v>
      </c>
      <c r="X87">
        <v>6046</v>
      </c>
    </row>
    <row r="88" spans="1:24" x14ac:dyDescent="0.2">
      <c r="A88" t="s">
        <v>208</v>
      </c>
      <c r="B88" t="s">
        <v>362</v>
      </c>
      <c r="C88">
        <v>180</v>
      </c>
      <c r="D88">
        <v>1</v>
      </c>
      <c r="E88">
        <v>5786635.75</v>
      </c>
      <c r="F88">
        <v>172439</v>
      </c>
      <c r="G88">
        <v>124002</v>
      </c>
      <c r="H88">
        <v>239068</v>
      </c>
      <c r="I88">
        <v>526486</v>
      </c>
      <c r="J88">
        <v>399249</v>
      </c>
      <c r="K88">
        <v>689249</v>
      </c>
      <c r="L88">
        <v>220572.28565199999</v>
      </c>
      <c r="M88">
        <v>147801.15208299999</v>
      </c>
      <c r="N88">
        <v>310594.42536400002</v>
      </c>
      <c r="O88">
        <v>11.6532087641</v>
      </c>
      <c r="P88">
        <v>2.6633188460500001</v>
      </c>
      <c r="Q88">
        <v>20.351097477100001</v>
      </c>
      <c r="R88">
        <v>13.054615</v>
      </c>
      <c r="S88">
        <v>4.2849177999999997</v>
      </c>
      <c r="T88">
        <v>30.579113</v>
      </c>
      <c r="U88">
        <v>120374.73</v>
      </c>
      <c r="V88">
        <v>51350.887000000002</v>
      </c>
      <c r="W88">
        <v>243318.52</v>
      </c>
      <c r="X88">
        <v>79287</v>
      </c>
    </row>
    <row r="89" spans="1:24" x14ac:dyDescent="0.2">
      <c r="A89" t="s">
        <v>209</v>
      </c>
      <c r="B89" t="s">
        <v>363</v>
      </c>
      <c r="C89">
        <v>181</v>
      </c>
      <c r="D89">
        <v>2</v>
      </c>
      <c r="E89">
        <v>16220325.5</v>
      </c>
      <c r="F89">
        <v>155313</v>
      </c>
      <c r="G89">
        <v>87805</v>
      </c>
      <c r="H89">
        <v>237801</v>
      </c>
      <c r="I89">
        <v>482943</v>
      </c>
      <c r="J89">
        <v>291858</v>
      </c>
      <c r="K89">
        <v>693142</v>
      </c>
      <c r="L89">
        <v>80898.565660299995</v>
      </c>
      <c r="M89">
        <v>35118.9239896</v>
      </c>
      <c r="N89">
        <v>153062.58571700001</v>
      </c>
      <c r="O89">
        <v>5.6894501898299996</v>
      </c>
      <c r="P89">
        <v>0.1625444365</v>
      </c>
      <c r="Q89">
        <v>24.540417875799999</v>
      </c>
      <c r="R89">
        <v>32.004233999999997</v>
      </c>
      <c r="S89">
        <v>9.4109134999999995</v>
      </c>
      <c r="T89">
        <v>78.69014</v>
      </c>
      <c r="U89">
        <v>75522.554999999993</v>
      </c>
      <c r="V89">
        <v>26051.736000000001</v>
      </c>
      <c r="W89">
        <v>171256.47</v>
      </c>
      <c r="X89">
        <v>42180</v>
      </c>
    </row>
    <row r="90" spans="1:24" x14ac:dyDescent="0.2">
      <c r="A90" t="s">
        <v>210</v>
      </c>
      <c r="B90" t="s">
        <v>364</v>
      </c>
      <c r="C90">
        <v>182</v>
      </c>
      <c r="D90">
        <v>2</v>
      </c>
      <c r="E90">
        <v>159904080</v>
      </c>
      <c r="F90">
        <v>4153338</v>
      </c>
      <c r="G90">
        <v>3004606</v>
      </c>
      <c r="H90">
        <v>5700852</v>
      </c>
      <c r="I90">
        <v>12698054</v>
      </c>
      <c r="J90">
        <v>9670162</v>
      </c>
      <c r="K90">
        <v>16510850</v>
      </c>
      <c r="L90">
        <v>2419553.7099000001</v>
      </c>
      <c r="M90">
        <v>1645914.54792</v>
      </c>
      <c r="N90">
        <v>3376962.8039099998</v>
      </c>
      <c r="O90">
        <v>109.72876509699999</v>
      </c>
      <c r="P90">
        <v>6.98791410841</v>
      </c>
      <c r="Q90">
        <v>460.694341834</v>
      </c>
      <c r="R90">
        <v>968.22942999999998</v>
      </c>
      <c r="S90">
        <v>355.20398</v>
      </c>
      <c r="T90">
        <v>2172.2446</v>
      </c>
      <c r="U90">
        <v>2285183.5</v>
      </c>
      <c r="V90">
        <v>1001208.1</v>
      </c>
      <c r="W90">
        <v>4543735</v>
      </c>
      <c r="X90">
        <v>790674</v>
      </c>
    </row>
    <row r="91" spans="1:24" x14ac:dyDescent="0.2">
      <c r="A91" t="s">
        <v>211</v>
      </c>
      <c r="B91" t="s">
        <v>365</v>
      </c>
      <c r="C91">
        <v>183</v>
      </c>
      <c r="D91">
        <v>4</v>
      </c>
      <c r="E91" t="s">
        <v>128</v>
      </c>
      <c r="F91">
        <v>36</v>
      </c>
      <c r="G91">
        <v>17</v>
      </c>
      <c r="H91">
        <v>64</v>
      </c>
      <c r="I91">
        <v>108</v>
      </c>
      <c r="J91">
        <v>59</v>
      </c>
      <c r="K91">
        <v>178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1.6153662999999999E-2</v>
      </c>
      <c r="S91">
        <v>5.2626620000000004E-3</v>
      </c>
      <c r="T91">
        <v>3.8202292999999998E-2</v>
      </c>
      <c r="U91">
        <v>38.122962999999999</v>
      </c>
      <c r="V91">
        <v>14.797834</v>
      </c>
      <c r="W91">
        <v>80.946624999999997</v>
      </c>
      <c r="X91">
        <v>27</v>
      </c>
    </row>
    <row r="92" spans="1:24" x14ac:dyDescent="0.2">
      <c r="A92" t="s">
        <v>212</v>
      </c>
      <c r="B92" t="s">
        <v>366</v>
      </c>
      <c r="C92">
        <v>185</v>
      </c>
      <c r="D92">
        <v>4</v>
      </c>
      <c r="E92" t="s">
        <v>128</v>
      </c>
      <c r="F92">
        <v>2862</v>
      </c>
      <c r="G92">
        <v>1235</v>
      </c>
      <c r="H92">
        <v>5493</v>
      </c>
      <c r="I92">
        <v>8704</v>
      </c>
      <c r="J92">
        <v>4406</v>
      </c>
      <c r="K92">
        <v>15167</v>
      </c>
      <c r="L92">
        <v>2121.6792773400002</v>
      </c>
      <c r="M92">
        <v>1457.27105678</v>
      </c>
      <c r="N92">
        <v>2940.8637339799998</v>
      </c>
      <c r="O92">
        <v>3.8938616639800001E-4</v>
      </c>
      <c r="P92">
        <v>1.6483508026600001E-4</v>
      </c>
      <c r="Q92">
        <v>8.31130752305E-4</v>
      </c>
      <c r="R92">
        <v>0.73105502</v>
      </c>
      <c r="S92">
        <v>0.23816860000000001</v>
      </c>
      <c r="T92">
        <v>1.7288945</v>
      </c>
      <c r="U92">
        <v>1725.3044</v>
      </c>
      <c r="V92">
        <v>669.69530999999995</v>
      </c>
      <c r="W92">
        <v>3663.3447000000001</v>
      </c>
      <c r="X92">
        <v>1242</v>
      </c>
    </row>
    <row r="93" spans="1:24" x14ac:dyDescent="0.2">
      <c r="A93" t="s">
        <v>213</v>
      </c>
      <c r="B93" t="s">
        <v>367</v>
      </c>
      <c r="C93">
        <v>187</v>
      </c>
      <c r="D93">
        <v>3</v>
      </c>
      <c r="E93">
        <v>2932776</v>
      </c>
      <c r="F93">
        <v>41524</v>
      </c>
      <c r="G93">
        <v>23179</v>
      </c>
      <c r="H93">
        <v>63745</v>
      </c>
      <c r="I93">
        <v>129341</v>
      </c>
      <c r="J93">
        <v>77707</v>
      </c>
      <c r="K93">
        <v>185832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0.83059967000000001</v>
      </c>
      <c r="S93">
        <v>0.13426811</v>
      </c>
      <c r="T93">
        <v>2.6967558999999999</v>
      </c>
      <c r="U93">
        <v>1957.4647</v>
      </c>
      <c r="V93">
        <v>370.61239999999998</v>
      </c>
      <c r="W93">
        <v>6188.7304999999997</v>
      </c>
      <c r="X93">
        <v>1460</v>
      </c>
    </row>
    <row r="94" spans="1:24" x14ac:dyDescent="0.2">
      <c r="A94" t="s">
        <v>214</v>
      </c>
      <c r="B94" t="s">
        <v>336</v>
      </c>
      <c r="C94">
        <v>188</v>
      </c>
      <c r="D94">
        <v>3</v>
      </c>
      <c r="E94">
        <v>168676576</v>
      </c>
      <c r="F94">
        <v>3414749</v>
      </c>
      <c r="G94">
        <v>2455183</v>
      </c>
      <c r="H94">
        <v>4680780</v>
      </c>
      <c r="I94">
        <v>10481756</v>
      </c>
      <c r="J94">
        <v>7898303</v>
      </c>
      <c r="K94">
        <v>13642888</v>
      </c>
      <c r="L94">
        <v>2571004.14842</v>
      </c>
      <c r="M94">
        <v>1746203.0902799999</v>
      </c>
      <c r="N94">
        <v>3592499.7489</v>
      </c>
      <c r="O94">
        <v>1022.8415657100001</v>
      </c>
      <c r="P94">
        <v>116.397561912</v>
      </c>
      <c r="Q94">
        <v>3686.2068102200001</v>
      </c>
      <c r="R94">
        <v>594.63538000000005</v>
      </c>
      <c r="S94">
        <v>207.06524999999999</v>
      </c>
      <c r="T94">
        <v>1369.3530000000001</v>
      </c>
      <c r="U94">
        <v>1403410.4</v>
      </c>
      <c r="V94">
        <v>583183.68999999994</v>
      </c>
      <c r="W94">
        <v>2876893.8</v>
      </c>
      <c r="X94">
        <v>906604</v>
      </c>
    </row>
    <row r="95" spans="1:24" x14ac:dyDescent="0.2">
      <c r="A95" t="s">
        <v>215</v>
      </c>
      <c r="B95" t="s">
        <v>368</v>
      </c>
      <c r="C95">
        <v>189</v>
      </c>
      <c r="D95">
        <v>4</v>
      </c>
      <c r="E95" t="s">
        <v>128</v>
      </c>
      <c r="F95">
        <v>715</v>
      </c>
      <c r="G95">
        <v>248</v>
      </c>
      <c r="H95">
        <v>1562</v>
      </c>
      <c r="I95">
        <v>2168</v>
      </c>
      <c r="J95">
        <v>920</v>
      </c>
      <c r="K95">
        <v>4207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0.42176186999999998</v>
      </c>
      <c r="S95">
        <v>0.12266675</v>
      </c>
      <c r="T95">
        <v>1.0387942999999999</v>
      </c>
      <c r="U95">
        <v>995.24883999999997</v>
      </c>
      <c r="V95">
        <v>340.15298000000001</v>
      </c>
      <c r="W95">
        <v>2271.6298999999999</v>
      </c>
      <c r="X95">
        <v>745</v>
      </c>
    </row>
    <row r="96" spans="1:24" x14ac:dyDescent="0.2">
      <c r="A96" t="s">
        <v>216</v>
      </c>
      <c r="B96" t="s">
        <v>369</v>
      </c>
      <c r="C96">
        <v>191</v>
      </c>
      <c r="D96">
        <v>1</v>
      </c>
      <c r="E96">
        <v>3632070.5</v>
      </c>
      <c r="F96">
        <v>115465</v>
      </c>
      <c r="G96">
        <v>77189</v>
      </c>
      <c r="H96">
        <v>171413</v>
      </c>
      <c r="I96">
        <v>349933</v>
      </c>
      <c r="J96">
        <v>250842</v>
      </c>
      <c r="K96">
        <v>488023</v>
      </c>
      <c r="L96">
        <v>70479.227846299997</v>
      </c>
      <c r="M96">
        <v>48581.898182500001</v>
      </c>
      <c r="N96">
        <v>97294.682352500007</v>
      </c>
      <c r="O96">
        <v>6.0978299942899996</v>
      </c>
      <c r="P96">
        <v>3.8351235890600002</v>
      </c>
      <c r="Q96">
        <v>8.58171350824</v>
      </c>
      <c r="R96">
        <v>9.2264575999999998</v>
      </c>
      <c r="S96">
        <v>0.57312763</v>
      </c>
      <c r="T96">
        <v>37.923293999999999</v>
      </c>
      <c r="U96">
        <v>68209.585999999996</v>
      </c>
      <c r="V96">
        <v>29419.342000000001</v>
      </c>
      <c r="W96">
        <v>136572.95000000001</v>
      </c>
      <c r="X96">
        <v>49818</v>
      </c>
    </row>
    <row r="97" spans="1:24" x14ac:dyDescent="0.2">
      <c r="A97" t="s">
        <v>262</v>
      </c>
      <c r="B97" t="s">
        <v>370</v>
      </c>
      <c r="C97">
        <v>1011441</v>
      </c>
      <c r="D97">
        <v>4</v>
      </c>
      <c r="E97">
        <v>6849540.5</v>
      </c>
      <c r="F97">
        <v>89943</v>
      </c>
      <c r="G97">
        <v>53076</v>
      </c>
      <c r="H97">
        <v>134815</v>
      </c>
      <c r="I97">
        <v>279597</v>
      </c>
      <c r="J97">
        <v>175330</v>
      </c>
      <c r="K97">
        <v>394470</v>
      </c>
      <c r="L97">
        <v>50765.076253500003</v>
      </c>
      <c r="M97">
        <v>30140.5287546</v>
      </c>
      <c r="N97">
        <v>78211.190044000003</v>
      </c>
      <c r="O97">
        <v>2.0571223823699998</v>
      </c>
      <c r="P97">
        <v>0.72602146837000003</v>
      </c>
      <c r="Q97">
        <v>5.65543475637</v>
      </c>
      <c r="R97">
        <v>27.700581</v>
      </c>
      <c r="S97">
        <v>9.9086323000000007</v>
      </c>
      <c r="T97">
        <v>63.090485000000001</v>
      </c>
      <c r="U97">
        <v>65377.398000000001</v>
      </c>
      <c r="V97">
        <v>27789.748</v>
      </c>
      <c r="W97">
        <v>132675.01999999999</v>
      </c>
      <c r="X97">
        <v>41455</v>
      </c>
    </row>
    <row r="98" spans="1:24" x14ac:dyDescent="0.2">
      <c r="A98" t="s">
        <v>217</v>
      </c>
      <c r="B98" t="s">
        <v>371</v>
      </c>
      <c r="C98">
        <v>194</v>
      </c>
      <c r="D98">
        <v>1</v>
      </c>
      <c r="E98">
        <v>6289203.5</v>
      </c>
      <c r="F98">
        <v>194400</v>
      </c>
      <c r="G98">
        <v>131147</v>
      </c>
      <c r="H98">
        <v>287580</v>
      </c>
      <c r="I98">
        <v>591779</v>
      </c>
      <c r="J98">
        <v>426866</v>
      </c>
      <c r="K98">
        <v>820674</v>
      </c>
      <c r="L98">
        <v>101129.385524</v>
      </c>
      <c r="M98">
        <v>69474.1459436</v>
      </c>
      <c r="N98">
        <v>140154.24154300001</v>
      </c>
      <c r="O98">
        <v>80.784703610199998</v>
      </c>
      <c r="P98">
        <v>0.67874294873499996</v>
      </c>
      <c r="Q98">
        <v>156.02703371800001</v>
      </c>
      <c r="R98">
        <v>99.907973999999996</v>
      </c>
      <c r="S98">
        <v>10.64649</v>
      </c>
      <c r="T98">
        <v>348.35556000000003</v>
      </c>
      <c r="U98">
        <v>111143.75</v>
      </c>
      <c r="V98">
        <v>48299.906000000003</v>
      </c>
      <c r="W98">
        <v>221775.91</v>
      </c>
      <c r="X98">
        <v>102363</v>
      </c>
    </row>
    <row r="99" spans="1:24" x14ac:dyDescent="0.2">
      <c r="A99" t="s">
        <v>263</v>
      </c>
      <c r="B99" t="s">
        <v>372</v>
      </c>
      <c r="C99">
        <v>1011442</v>
      </c>
      <c r="D99">
        <v>1</v>
      </c>
      <c r="E99">
        <v>29391536</v>
      </c>
      <c r="F99">
        <v>472445</v>
      </c>
      <c r="G99">
        <v>316552</v>
      </c>
      <c r="H99">
        <v>677480</v>
      </c>
      <c r="I99">
        <v>1454164</v>
      </c>
      <c r="J99">
        <v>1038618</v>
      </c>
      <c r="K99">
        <v>1964217</v>
      </c>
      <c r="L99">
        <v>210373.30905400001</v>
      </c>
      <c r="M99">
        <v>116027.531877</v>
      </c>
      <c r="N99">
        <v>341118.64883700002</v>
      </c>
      <c r="O99">
        <v>12.5592255824</v>
      </c>
      <c r="P99">
        <v>3.1091717991999999</v>
      </c>
      <c r="Q99">
        <v>22.454047495899999</v>
      </c>
      <c r="R99">
        <v>18.979288</v>
      </c>
      <c r="S99">
        <v>1.4384085</v>
      </c>
      <c r="T99">
        <v>89.219314999999995</v>
      </c>
      <c r="U99">
        <v>217585.55</v>
      </c>
      <c r="V99">
        <v>88723.866999999998</v>
      </c>
      <c r="W99">
        <v>449913.25</v>
      </c>
      <c r="X99">
        <v>151657</v>
      </c>
    </row>
    <row r="100" spans="1:24" x14ac:dyDescent="0.2">
      <c r="A100" t="s">
        <v>218</v>
      </c>
      <c r="B100" t="s">
        <v>373</v>
      </c>
      <c r="C100">
        <v>196</v>
      </c>
      <c r="D100">
        <v>3</v>
      </c>
      <c r="E100">
        <v>93667856</v>
      </c>
      <c r="F100">
        <v>3076863</v>
      </c>
      <c r="G100">
        <v>1990758</v>
      </c>
      <c r="H100">
        <v>4810993</v>
      </c>
      <c r="I100">
        <v>9339425</v>
      </c>
      <c r="J100">
        <v>6493806</v>
      </c>
      <c r="K100">
        <v>13584794</v>
      </c>
      <c r="L100">
        <v>3411780.7815</v>
      </c>
      <c r="M100">
        <v>2082803.98612</v>
      </c>
      <c r="N100">
        <v>5145590.6499399999</v>
      </c>
      <c r="O100">
        <v>3157.2911082000001</v>
      </c>
      <c r="P100">
        <v>1872.40192557</v>
      </c>
      <c r="Q100">
        <v>4582.0209806900002</v>
      </c>
      <c r="R100">
        <v>1324.2157999999999</v>
      </c>
      <c r="S100">
        <v>352.31061</v>
      </c>
      <c r="T100">
        <v>3602.2597999999998</v>
      </c>
      <c r="U100">
        <v>3894805.8</v>
      </c>
      <c r="V100">
        <v>1411489.6</v>
      </c>
      <c r="W100">
        <v>8582419</v>
      </c>
      <c r="X100">
        <v>2097167</v>
      </c>
    </row>
    <row r="101" spans="1:24" x14ac:dyDescent="0.2">
      <c r="A101" t="s">
        <v>219</v>
      </c>
      <c r="B101" t="s">
        <v>374</v>
      </c>
      <c r="C101">
        <v>200</v>
      </c>
      <c r="D101">
        <v>1</v>
      </c>
      <c r="E101" t="s">
        <v>128</v>
      </c>
      <c r="F101">
        <v>146564</v>
      </c>
      <c r="G101">
        <v>75342</v>
      </c>
      <c r="H101">
        <v>262390</v>
      </c>
      <c r="I101">
        <v>441460</v>
      </c>
      <c r="J101">
        <v>256280</v>
      </c>
      <c r="K101">
        <v>727231</v>
      </c>
      <c r="L101">
        <v>91511.7737433</v>
      </c>
      <c r="M101">
        <v>59171.652110900002</v>
      </c>
      <c r="N101">
        <v>132367.995765</v>
      </c>
      <c r="O101">
        <v>10.5531584548</v>
      </c>
      <c r="P101">
        <v>5.9636440563099997</v>
      </c>
      <c r="Q101">
        <v>15.927844053899999</v>
      </c>
      <c r="R101">
        <v>12.832886</v>
      </c>
      <c r="S101">
        <v>2.1481680999999999</v>
      </c>
      <c r="T101">
        <v>42.432685999999997</v>
      </c>
      <c r="U101">
        <v>57256.531000000003</v>
      </c>
      <c r="V101">
        <v>20386.509999999998</v>
      </c>
      <c r="W101">
        <v>134118.67000000001</v>
      </c>
      <c r="X101">
        <v>42858</v>
      </c>
    </row>
    <row r="102" spans="1:24" x14ac:dyDescent="0.2">
      <c r="A102" t="s">
        <v>220</v>
      </c>
      <c r="B102" t="s">
        <v>376</v>
      </c>
      <c r="C102">
        <v>205</v>
      </c>
      <c r="D102">
        <v>2</v>
      </c>
      <c r="E102">
        <v>10416466</v>
      </c>
      <c r="F102">
        <v>79509</v>
      </c>
      <c r="G102">
        <v>35540</v>
      </c>
      <c r="H102">
        <v>132872</v>
      </c>
      <c r="I102">
        <v>248565</v>
      </c>
      <c r="J102">
        <v>124383</v>
      </c>
      <c r="K102">
        <v>383373</v>
      </c>
      <c r="L102">
        <v>50385.000089000001</v>
      </c>
      <c r="M102">
        <v>21933.235554800001</v>
      </c>
      <c r="N102">
        <v>95155.514118699997</v>
      </c>
      <c r="O102">
        <v>1.01012284801</v>
      </c>
      <c r="P102">
        <v>8.6581268181799995E-2</v>
      </c>
      <c r="Q102">
        <v>3.4190962946200001</v>
      </c>
      <c r="R102">
        <v>11.790902000000001</v>
      </c>
      <c r="S102">
        <v>2.7403016</v>
      </c>
      <c r="T102">
        <v>31.993010999999999</v>
      </c>
      <c r="U102">
        <v>27812.208999999999</v>
      </c>
      <c r="V102">
        <v>7241.1962999999996</v>
      </c>
      <c r="W102">
        <v>74000.008000000002</v>
      </c>
      <c r="X102">
        <v>16589</v>
      </c>
    </row>
    <row r="103" spans="1:24" x14ac:dyDescent="0.2">
      <c r="A103" t="s">
        <v>221</v>
      </c>
      <c r="B103" t="s">
        <v>375</v>
      </c>
      <c r="C103">
        <v>206</v>
      </c>
      <c r="D103">
        <v>2</v>
      </c>
      <c r="E103" t="s">
        <v>128</v>
      </c>
      <c r="F103">
        <v>21329</v>
      </c>
      <c r="G103">
        <v>13990</v>
      </c>
      <c r="H103">
        <v>31231</v>
      </c>
      <c r="I103">
        <v>65378</v>
      </c>
      <c r="J103">
        <v>46176</v>
      </c>
      <c r="K103">
        <v>89873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t="s">
        <v>569</v>
      </c>
      <c r="S103" t="s">
        <v>569</v>
      </c>
      <c r="T103" t="s">
        <v>569</v>
      </c>
      <c r="U103" t="s">
        <v>569</v>
      </c>
      <c r="V103" t="s">
        <v>569</v>
      </c>
      <c r="W103" t="s">
        <v>569</v>
      </c>
      <c r="X103" t="s">
        <v>569</v>
      </c>
    </row>
    <row r="104" spans="1:24" x14ac:dyDescent="0.2">
      <c r="A104" t="s">
        <v>222</v>
      </c>
      <c r="B104" t="s">
        <v>377</v>
      </c>
      <c r="C104">
        <v>208</v>
      </c>
      <c r="D104">
        <v>1</v>
      </c>
      <c r="E104" t="s">
        <v>128</v>
      </c>
      <c r="F104">
        <v>1845</v>
      </c>
      <c r="G104">
        <v>968</v>
      </c>
      <c r="H104">
        <v>3134</v>
      </c>
      <c r="I104">
        <v>5581</v>
      </c>
      <c r="J104">
        <v>3312</v>
      </c>
      <c r="K104">
        <v>8766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0.36381298000000001</v>
      </c>
      <c r="S104">
        <v>0.11018486</v>
      </c>
      <c r="T104">
        <v>0.88758039</v>
      </c>
      <c r="U104">
        <v>858.30944999999997</v>
      </c>
      <c r="V104">
        <v>305.60590000000002</v>
      </c>
      <c r="W104">
        <v>2010.5187000000001</v>
      </c>
      <c r="X104">
        <v>618</v>
      </c>
    </row>
    <row r="105" spans="1:24" x14ac:dyDescent="0.2">
      <c r="A105" t="s">
        <v>223</v>
      </c>
      <c r="B105" t="s">
        <v>378</v>
      </c>
      <c r="C105">
        <v>209</v>
      </c>
      <c r="D105">
        <v>1</v>
      </c>
      <c r="E105">
        <v>177450.89060000001</v>
      </c>
      <c r="F105">
        <v>6144</v>
      </c>
      <c r="G105">
        <v>3655</v>
      </c>
      <c r="H105">
        <v>9698</v>
      </c>
      <c r="I105">
        <v>18609</v>
      </c>
      <c r="J105">
        <v>12168</v>
      </c>
      <c r="K105">
        <v>27335</v>
      </c>
      <c r="L105">
        <v>6810.7599324800003</v>
      </c>
      <c r="M105">
        <v>4385.9293390000003</v>
      </c>
      <c r="N105">
        <v>9881.0396024099991</v>
      </c>
      <c r="O105">
        <v>0.54796972474000005</v>
      </c>
      <c r="P105">
        <v>0.31970102853499999</v>
      </c>
      <c r="Q105">
        <v>0.79093948624800003</v>
      </c>
      <c r="R105">
        <v>2.3187432000000001</v>
      </c>
      <c r="S105">
        <v>0.77123165000000005</v>
      </c>
      <c r="T105">
        <v>5.4483050999999998</v>
      </c>
      <c r="U105">
        <v>5472.3467000000001</v>
      </c>
      <c r="V105">
        <v>2157.0785999999998</v>
      </c>
      <c r="W105">
        <v>11549.184999999999</v>
      </c>
      <c r="X105">
        <v>4092</v>
      </c>
    </row>
    <row r="106" spans="1:24" x14ac:dyDescent="0.2">
      <c r="A106" t="s">
        <v>224</v>
      </c>
      <c r="B106" t="s">
        <v>379</v>
      </c>
      <c r="C106">
        <v>211</v>
      </c>
      <c r="D106">
        <v>1</v>
      </c>
      <c r="E106">
        <v>109409.5352</v>
      </c>
      <c r="F106">
        <v>3267</v>
      </c>
      <c r="G106">
        <v>1994</v>
      </c>
      <c r="H106">
        <v>5033</v>
      </c>
      <c r="I106">
        <v>9979</v>
      </c>
      <c r="J106">
        <v>6659</v>
      </c>
      <c r="K106">
        <v>14331</v>
      </c>
      <c r="L106">
        <v>2297.0332497200002</v>
      </c>
      <c r="M106">
        <v>1564.4904545100001</v>
      </c>
      <c r="N106">
        <v>3203.1594208400002</v>
      </c>
      <c r="O106">
        <v>0.103534298862</v>
      </c>
      <c r="P106">
        <v>5.5098215976499998E-2</v>
      </c>
      <c r="Q106">
        <v>0.15765795174</v>
      </c>
      <c r="R106">
        <v>0.91942405999999999</v>
      </c>
      <c r="S106">
        <v>0.33017342999999999</v>
      </c>
      <c r="T106">
        <v>2.0901222000000002</v>
      </c>
      <c r="U106">
        <v>2169.9785000000002</v>
      </c>
      <c r="V106">
        <v>925.74572999999998</v>
      </c>
      <c r="W106">
        <v>4386.0043999999998</v>
      </c>
      <c r="X106">
        <v>1624</v>
      </c>
    </row>
    <row r="107" spans="1:24" x14ac:dyDescent="0.2">
      <c r="A107" t="s">
        <v>225</v>
      </c>
      <c r="B107" t="s">
        <v>380</v>
      </c>
      <c r="C107">
        <v>212</v>
      </c>
      <c r="D107">
        <v>4</v>
      </c>
      <c r="E107">
        <v>186329.10939999999</v>
      </c>
      <c r="F107">
        <v>16759</v>
      </c>
      <c r="G107">
        <v>9671</v>
      </c>
      <c r="H107">
        <v>28084</v>
      </c>
      <c r="I107">
        <v>51096</v>
      </c>
      <c r="J107">
        <v>32418</v>
      </c>
      <c r="K107">
        <v>78612</v>
      </c>
      <c r="L107">
        <v>2652.60067845</v>
      </c>
      <c r="M107">
        <v>1767.3602347999999</v>
      </c>
      <c r="N107">
        <v>3751.56234219</v>
      </c>
      <c r="O107">
        <v>0.15308581098499999</v>
      </c>
      <c r="P107">
        <v>6.66859986377E-2</v>
      </c>
      <c r="Q107">
        <v>0.32813041739400001</v>
      </c>
      <c r="R107">
        <v>0.77693164000000003</v>
      </c>
      <c r="S107">
        <v>0.28017628</v>
      </c>
      <c r="T107">
        <v>1.7659956999999999</v>
      </c>
      <c r="U107">
        <v>1833.6782000000001</v>
      </c>
      <c r="V107">
        <v>785.32721000000004</v>
      </c>
      <c r="W107">
        <v>3690.2773000000002</v>
      </c>
      <c r="X107">
        <v>1339</v>
      </c>
    </row>
    <row r="108" spans="1:24" x14ac:dyDescent="0.2">
      <c r="A108" t="s">
        <v>226</v>
      </c>
      <c r="B108" t="s">
        <v>381</v>
      </c>
      <c r="C108">
        <v>214</v>
      </c>
      <c r="D108">
        <v>2</v>
      </c>
      <c r="E108">
        <v>172973.05470000001</v>
      </c>
      <c r="F108">
        <v>5372</v>
      </c>
      <c r="G108">
        <v>2326</v>
      </c>
      <c r="H108">
        <v>10714</v>
      </c>
      <c r="I108">
        <v>16289</v>
      </c>
      <c r="J108">
        <v>8203</v>
      </c>
      <c r="K108">
        <v>29361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0.82306873999999997</v>
      </c>
      <c r="S108">
        <v>0.29804861999999999</v>
      </c>
      <c r="T108">
        <v>1.8646551</v>
      </c>
      <c r="U108">
        <v>1942.5721000000001</v>
      </c>
      <c r="V108">
        <v>835.81133999999997</v>
      </c>
      <c r="W108">
        <v>3895.0164</v>
      </c>
      <c r="X108">
        <v>1329</v>
      </c>
    </row>
    <row r="109" spans="1:24" x14ac:dyDescent="0.2">
      <c r="A109" t="s">
        <v>227</v>
      </c>
      <c r="B109" t="s">
        <v>382</v>
      </c>
      <c r="C109">
        <v>215</v>
      </c>
      <c r="D109">
        <v>3</v>
      </c>
      <c r="E109">
        <v>27899174</v>
      </c>
      <c r="F109">
        <v>152009</v>
      </c>
      <c r="G109">
        <v>103604</v>
      </c>
      <c r="H109">
        <v>213847</v>
      </c>
      <c r="I109">
        <v>468868</v>
      </c>
      <c r="J109">
        <v>337790</v>
      </c>
      <c r="K109">
        <v>624191</v>
      </c>
      <c r="L109">
        <v>48240.349684399996</v>
      </c>
      <c r="M109">
        <v>26198.800672900001</v>
      </c>
      <c r="N109">
        <v>79301.336882200005</v>
      </c>
      <c r="O109">
        <v>2.0991593120199998</v>
      </c>
      <c r="P109">
        <v>1.21832398015E-2</v>
      </c>
      <c r="Q109">
        <v>5.7808083508200001</v>
      </c>
      <c r="R109">
        <v>4.37392</v>
      </c>
      <c r="S109">
        <v>0.63616156999999995</v>
      </c>
      <c r="T109">
        <v>14.932295</v>
      </c>
      <c r="U109">
        <v>10304.761</v>
      </c>
      <c r="V109">
        <v>1728.9209000000001</v>
      </c>
      <c r="W109">
        <v>34310.762000000002</v>
      </c>
      <c r="X109">
        <v>7646</v>
      </c>
    </row>
    <row r="110" spans="1:24" x14ac:dyDescent="0.2">
      <c r="A110" t="s">
        <v>228</v>
      </c>
      <c r="B110" t="s">
        <v>383</v>
      </c>
      <c r="C110">
        <v>217</v>
      </c>
      <c r="D110">
        <v>2</v>
      </c>
      <c r="E110">
        <v>12980031.5</v>
      </c>
      <c r="F110">
        <v>314220</v>
      </c>
      <c r="G110">
        <v>215380</v>
      </c>
      <c r="H110">
        <v>449280</v>
      </c>
      <c r="I110">
        <v>962422</v>
      </c>
      <c r="J110">
        <v>703216</v>
      </c>
      <c r="K110">
        <v>1295220</v>
      </c>
      <c r="L110">
        <v>141637.14392100001</v>
      </c>
      <c r="M110">
        <v>88931.771104300002</v>
      </c>
      <c r="N110">
        <v>209330.30117699999</v>
      </c>
      <c r="O110">
        <v>4.82311197751</v>
      </c>
      <c r="P110">
        <v>0.35145344052400002</v>
      </c>
      <c r="Q110">
        <v>19.662177510399999</v>
      </c>
      <c r="R110">
        <v>50.377521999999999</v>
      </c>
      <c r="S110">
        <v>17.847328000000001</v>
      </c>
      <c r="T110">
        <v>115.21371000000001</v>
      </c>
      <c r="U110">
        <v>118897.83</v>
      </c>
      <c r="V110">
        <v>50187.027000000002</v>
      </c>
      <c r="W110">
        <v>241994.56</v>
      </c>
      <c r="X110">
        <v>58680</v>
      </c>
    </row>
    <row r="111" spans="1:24" x14ac:dyDescent="0.2">
      <c r="A111" t="s">
        <v>229</v>
      </c>
      <c r="B111" t="s">
        <v>384</v>
      </c>
      <c r="C111">
        <v>220</v>
      </c>
      <c r="D111">
        <v>2</v>
      </c>
      <c r="E111">
        <v>93611.71875</v>
      </c>
      <c r="F111">
        <v>2677</v>
      </c>
      <c r="G111">
        <v>1375</v>
      </c>
      <c r="H111">
        <v>4589</v>
      </c>
      <c r="I111">
        <v>8173</v>
      </c>
      <c r="J111">
        <v>4772</v>
      </c>
      <c r="K111">
        <v>12922</v>
      </c>
      <c r="L111">
        <v>2407.2647671999998</v>
      </c>
      <c r="M111">
        <v>1512.6120905600001</v>
      </c>
      <c r="N111">
        <v>3555.84639487</v>
      </c>
      <c r="O111">
        <v>0.85310570812099995</v>
      </c>
      <c r="P111">
        <v>0.133421616332</v>
      </c>
      <c r="Q111">
        <v>2.0706799308299999</v>
      </c>
      <c r="R111">
        <v>0.59490525999999999</v>
      </c>
      <c r="S111">
        <v>0.21784174000000001</v>
      </c>
      <c r="T111">
        <v>1.3350115</v>
      </c>
      <c r="U111">
        <v>1404.0753</v>
      </c>
      <c r="V111">
        <v>613.64513999999997</v>
      </c>
      <c r="W111">
        <v>2794.7979</v>
      </c>
      <c r="X111">
        <v>883</v>
      </c>
    </row>
    <row r="112" spans="1:24" x14ac:dyDescent="0.2">
      <c r="A112" t="s">
        <v>230</v>
      </c>
      <c r="B112" t="s">
        <v>385</v>
      </c>
      <c r="C112">
        <v>221</v>
      </c>
      <c r="D112">
        <v>2</v>
      </c>
      <c r="E112">
        <v>5765203</v>
      </c>
      <c r="F112">
        <v>143041</v>
      </c>
      <c r="G112">
        <v>92780</v>
      </c>
      <c r="H112">
        <v>212462</v>
      </c>
      <c r="I112">
        <v>439787</v>
      </c>
      <c r="J112">
        <v>306502</v>
      </c>
      <c r="K112">
        <v>607668</v>
      </c>
      <c r="L112">
        <v>80082.756622000001</v>
      </c>
      <c r="M112">
        <v>53595.923993199998</v>
      </c>
      <c r="N112">
        <v>112872.612908</v>
      </c>
      <c r="O112">
        <v>3.9660047231700002</v>
      </c>
      <c r="P112">
        <v>0.22642795204899999</v>
      </c>
      <c r="Q112">
        <v>17.984070989399999</v>
      </c>
      <c r="R112">
        <v>30.432988999999999</v>
      </c>
      <c r="S112">
        <v>11.128100999999999</v>
      </c>
      <c r="T112">
        <v>68.33287</v>
      </c>
      <c r="U112">
        <v>71826.891000000003</v>
      </c>
      <c r="V112">
        <v>31331.324000000001</v>
      </c>
      <c r="W112">
        <v>143090.16</v>
      </c>
      <c r="X112">
        <v>52002</v>
      </c>
    </row>
    <row r="113" spans="1:24" x14ac:dyDescent="0.2">
      <c r="A113" t="s">
        <v>231</v>
      </c>
      <c r="B113" t="s">
        <v>386</v>
      </c>
      <c r="C113">
        <v>222</v>
      </c>
      <c r="D113">
        <v>3</v>
      </c>
      <c r="E113">
        <v>3797541.75</v>
      </c>
      <c r="F113">
        <v>180895</v>
      </c>
      <c r="G113">
        <v>38032</v>
      </c>
      <c r="H113">
        <v>506530</v>
      </c>
      <c r="I113">
        <v>543970</v>
      </c>
      <c r="J113">
        <v>153362</v>
      </c>
      <c r="K113">
        <v>1338288</v>
      </c>
      <c r="L113">
        <v>102337.659661</v>
      </c>
      <c r="M113">
        <v>68080.223997199995</v>
      </c>
      <c r="N113">
        <v>144906.74038500001</v>
      </c>
      <c r="O113">
        <v>1.64401213128</v>
      </c>
      <c r="P113">
        <v>1.0416616918199999</v>
      </c>
      <c r="Q113">
        <v>2.3766772017300002</v>
      </c>
      <c r="R113">
        <v>23.023244999999999</v>
      </c>
      <c r="S113">
        <v>2.5432633999999998</v>
      </c>
      <c r="T113">
        <v>94.409996000000007</v>
      </c>
      <c r="U113">
        <v>15028.554</v>
      </c>
      <c r="V113">
        <v>2888.4241000000002</v>
      </c>
      <c r="W113">
        <v>47146.703000000001</v>
      </c>
      <c r="X113">
        <v>11246</v>
      </c>
    </row>
    <row r="114" spans="1:24" x14ac:dyDescent="0.2">
      <c r="A114" t="s">
        <v>264</v>
      </c>
      <c r="B114" t="s">
        <v>387</v>
      </c>
      <c r="C114">
        <v>1011444</v>
      </c>
      <c r="D114">
        <v>4</v>
      </c>
      <c r="E114">
        <v>529388.57819999999</v>
      </c>
      <c r="F114">
        <v>8250</v>
      </c>
      <c r="G114">
        <v>4572</v>
      </c>
      <c r="H114">
        <v>12834</v>
      </c>
      <c r="I114">
        <v>25552</v>
      </c>
      <c r="J114">
        <v>15642</v>
      </c>
      <c r="K114">
        <v>37037</v>
      </c>
      <c r="L114">
        <v>5182.0676407000001</v>
      </c>
      <c r="M114">
        <v>3338.5419789699999</v>
      </c>
      <c r="N114">
        <v>7515.7390142699996</v>
      </c>
      <c r="O114">
        <v>0.18545450510200001</v>
      </c>
      <c r="P114">
        <v>7.3747869128400007E-2</v>
      </c>
      <c r="Q114">
        <v>0.441374856117</v>
      </c>
      <c r="R114">
        <v>3.3910388999999999</v>
      </c>
      <c r="S114">
        <v>1.2435269</v>
      </c>
      <c r="T114">
        <v>7.6082844999999999</v>
      </c>
      <c r="U114">
        <v>8003.4184999999998</v>
      </c>
      <c r="V114">
        <v>3504.6306</v>
      </c>
      <c r="W114">
        <v>15917.335999999999</v>
      </c>
      <c r="X114">
        <v>5759</v>
      </c>
    </row>
    <row r="115" spans="1:24" x14ac:dyDescent="0.2">
      <c r="A115" t="s">
        <v>232</v>
      </c>
      <c r="B115" t="s">
        <v>388</v>
      </c>
      <c r="C115">
        <v>226</v>
      </c>
      <c r="D115">
        <v>2</v>
      </c>
      <c r="E115">
        <v>9650686.5</v>
      </c>
      <c r="F115">
        <v>114617</v>
      </c>
      <c r="G115">
        <v>67014</v>
      </c>
      <c r="H115">
        <v>173889</v>
      </c>
      <c r="I115">
        <v>354808</v>
      </c>
      <c r="J115">
        <v>224893</v>
      </c>
      <c r="K115">
        <v>504903</v>
      </c>
      <c r="L115">
        <v>49010.962062899998</v>
      </c>
      <c r="M115">
        <v>22939.1301542</v>
      </c>
      <c r="N115">
        <v>88160.091871199998</v>
      </c>
      <c r="O115">
        <v>3.31418500843</v>
      </c>
      <c r="P115">
        <v>0.10069383782999999</v>
      </c>
      <c r="Q115">
        <v>12.466464308999999</v>
      </c>
      <c r="R115">
        <v>10.999269</v>
      </c>
      <c r="S115">
        <v>2.6072145</v>
      </c>
      <c r="T115">
        <v>29.565373999999998</v>
      </c>
      <c r="U115">
        <v>25945.998</v>
      </c>
      <c r="V115">
        <v>6907.9750999999997</v>
      </c>
      <c r="W115">
        <v>67672.031000000003</v>
      </c>
      <c r="X115">
        <v>11973</v>
      </c>
    </row>
    <row r="116" spans="1:24" x14ac:dyDescent="0.2">
      <c r="A116" t="s">
        <v>258</v>
      </c>
      <c r="B116" t="s">
        <v>389</v>
      </c>
      <c r="C116">
        <v>1013968</v>
      </c>
      <c r="D116">
        <v>2</v>
      </c>
      <c r="E116">
        <v>9976985.5</v>
      </c>
      <c r="F116">
        <v>178497.5</v>
      </c>
      <c r="G116">
        <v>122144.5</v>
      </c>
      <c r="H116">
        <v>250501.5</v>
      </c>
      <c r="I116">
        <v>550244.25</v>
      </c>
      <c r="J116">
        <v>396903.25</v>
      </c>
      <c r="K116">
        <v>730839.25</v>
      </c>
      <c r="L116">
        <v>51248.105952700003</v>
      </c>
      <c r="M116">
        <v>21447.740151499998</v>
      </c>
      <c r="N116">
        <v>99324.534215199994</v>
      </c>
      <c r="O116">
        <v>4.5957541511300004</v>
      </c>
      <c r="P116">
        <v>0.112517511944</v>
      </c>
      <c r="Q116">
        <v>18.430216181500001</v>
      </c>
      <c r="R116">
        <v>9.2245978999999991</v>
      </c>
      <c r="S116">
        <v>1.9486239000000001</v>
      </c>
      <c r="T116">
        <v>26.437667999999999</v>
      </c>
      <c r="U116">
        <v>21754.035</v>
      </c>
      <c r="V116">
        <v>5212.6162000000004</v>
      </c>
      <c r="W116">
        <v>62405.391000000003</v>
      </c>
      <c r="X116">
        <v>9283</v>
      </c>
    </row>
    <row r="117" spans="1:24" x14ac:dyDescent="0.2">
      <c r="A117" t="s">
        <v>233</v>
      </c>
      <c r="B117" t="s">
        <v>390</v>
      </c>
      <c r="C117">
        <v>231</v>
      </c>
      <c r="D117">
        <v>3</v>
      </c>
      <c r="E117">
        <v>20287946</v>
      </c>
      <c r="F117">
        <v>673544</v>
      </c>
      <c r="G117">
        <v>445991</v>
      </c>
      <c r="H117">
        <v>1027403</v>
      </c>
      <c r="I117">
        <v>2042226</v>
      </c>
      <c r="J117">
        <v>1447987</v>
      </c>
      <c r="K117">
        <v>2910693</v>
      </c>
      <c r="L117">
        <v>406305.47461400001</v>
      </c>
      <c r="M117">
        <v>251856.978366</v>
      </c>
      <c r="N117">
        <v>606106.14339500002</v>
      </c>
      <c r="O117">
        <v>273.12609999900002</v>
      </c>
      <c r="P117">
        <v>64.811929269499998</v>
      </c>
      <c r="Q117">
        <v>480.90652279800003</v>
      </c>
      <c r="R117">
        <v>291.64825000000002</v>
      </c>
      <c r="S117">
        <v>94.716567999999995</v>
      </c>
      <c r="T117">
        <v>690.40088000000003</v>
      </c>
      <c r="U117">
        <v>688294.25</v>
      </c>
      <c r="V117">
        <v>266407.59000000003</v>
      </c>
      <c r="W117">
        <v>1464045.8</v>
      </c>
      <c r="X117">
        <v>513603</v>
      </c>
    </row>
    <row r="118" spans="1:24" x14ac:dyDescent="0.2">
      <c r="A118" t="s">
        <v>257</v>
      </c>
      <c r="B118" t="s">
        <v>391</v>
      </c>
      <c r="C118">
        <v>40764</v>
      </c>
      <c r="D118">
        <v>2</v>
      </c>
      <c r="E118">
        <v>36246778</v>
      </c>
      <c r="F118">
        <v>356995</v>
      </c>
      <c r="G118">
        <v>244289</v>
      </c>
      <c r="H118">
        <v>501003</v>
      </c>
      <c r="I118">
        <v>1100488.5</v>
      </c>
      <c r="J118">
        <v>793806.5</v>
      </c>
      <c r="K118">
        <v>1461678.5</v>
      </c>
      <c r="L118">
        <v>203831.04366600001</v>
      </c>
      <c r="M118">
        <v>99795.388799599998</v>
      </c>
      <c r="N118">
        <v>358108.27417599998</v>
      </c>
      <c r="O118">
        <v>0.235237553504</v>
      </c>
      <c r="P118">
        <v>7.3469586358499997E-2</v>
      </c>
      <c r="Q118">
        <v>0.50484106591099998</v>
      </c>
      <c r="R118">
        <v>76.858756999999997</v>
      </c>
      <c r="S118">
        <v>23.711297999999999</v>
      </c>
      <c r="T118">
        <v>186.33188000000001</v>
      </c>
      <c r="U118">
        <v>181377.06</v>
      </c>
      <c r="V118">
        <v>65265.559000000001</v>
      </c>
      <c r="W118">
        <v>401364.88</v>
      </c>
      <c r="X118">
        <v>109994</v>
      </c>
    </row>
    <row r="119" spans="1:24" x14ac:dyDescent="0.2">
      <c r="A119" t="s">
        <v>234</v>
      </c>
      <c r="B119" t="s">
        <v>392</v>
      </c>
      <c r="C119">
        <v>233</v>
      </c>
      <c r="D119">
        <v>1</v>
      </c>
      <c r="E119">
        <v>516316.5625</v>
      </c>
      <c r="F119">
        <v>19114</v>
      </c>
      <c r="G119">
        <v>10933</v>
      </c>
      <c r="H119">
        <v>31511</v>
      </c>
      <c r="I119">
        <v>57875</v>
      </c>
      <c r="J119">
        <v>36560</v>
      </c>
      <c r="K119">
        <v>88136</v>
      </c>
      <c r="L119">
        <v>9951.8545974400004</v>
      </c>
      <c r="M119">
        <v>6219.3372492600001</v>
      </c>
      <c r="N119">
        <v>14758.452007100001</v>
      </c>
      <c r="O119">
        <v>7.9228547419100002</v>
      </c>
      <c r="P119">
        <v>2.8281870056599998</v>
      </c>
      <c r="Q119">
        <v>14.936042953499999</v>
      </c>
      <c r="R119">
        <v>3.4551259999999999</v>
      </c>
      <c r="S119">
        <v>6.6444403999999999E-2</v>
      </c>
      <c r="T119">
        <v>22.381454000000002</v>
      </c>
      <c r="U119">
        <v>14013.75</v>
      </c>
      <c r="V119">
        <v>5708.6752999999999</v>
      </c>
      <c r="W119">
        <v>28990.026999999998</v>
      </c>
      <c r="X119">
        <v>10225</v>
      </c>
    </row>
    <row r="120" spans="1:24" x14ac:dyDescent="0.2">
      <c r="A120" t="s">
        <v>235</v>
      </c>
      <c r="B120" t="s">
        <v>393</v>
      </c>
      <c r="C120">
        <v>238</v>
      </c>
      <c r="D120">
        <v>3</v>
      </c>
      <c r="E120">
        <v>20721987</v>
      </c>
      <c r="F120">
        <v>91973</v>
      </c>
      <c r="G120">
        <v>36485</v>
      </c>
      <c r="H120">
        <v>156775</v>
      </c>
      <c r="I120">
        <v>289260</v>
      </c>
      <c r="J120">
        <v>128876</v>
      </c>
      <c r="K120">
        <v>455438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21.034658</v>
      </c>
      <c r="S120">
        <v>4.7903909999999996</v>
      </c>
      <c r="T120">
        <v>57.712383000000003</v>
      </c>
      <c r="U120">
        <v>49614.18</v>
      </c>
      <c r="V120">
        <v>12665.192999999999</v>
      </c>
      <c r="W120">
        <v>134499.29999999999</v>
      </c>
      <c r="X120">
        <v>36466</v>
      </c>
    </row>
    <row r="121" spans="1:24" x14ac:dyDescent="0.2">
      <c r="A121" t="s">
        <v>236</v>
      </c>
      <c r="B121" t="s">
        <v>394</v>
      </c>
      <c r="C121">
        <v>239</v>
      </c>
      <c r="D121">
        <v>3</v>
      </c>
      <c r="E121">
        <v>7680708.25</v>
      </c>
      <c r="F121">
        <v>21693</v>
      </c>
      <c r="G121">
        <v>7680</v>
      </c>
      <c r="H121">
        <v>39389</v>
      </c>
      <c r="I121">
        <v>68289</v>
      </c>
      <c r="J121">
        <v>27976</v>
      </c>
      <c r="K121">
        <v>113063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9.4588927999999992</v>
      </c>
      <c r="S121">
        <v>2.334765</v>
      </c>
      <c r="T121">
        <v>24.989563</v>
      </c>
      <c r="U121">
        <v>22314.373</v>
      </c>
      <c r="V121">
        <v>6267.1972999999998</v>
      </c>
      <c r="W121">
        <v>55902.398000000001</v>
      </c>
      <c r="X121">
        <v>15644</v>
      </c>
    </row>
    <row r="122" spans="1:24" x14ac:dyDescent="0.2">
      <c r="A122" t="s">
        <v>247</v>
      </c>
      <c r="B122" t="s">
        <v>405</v>
      </c>
      <c r="C122">
        <v>257</v>
      </c>
      <c r="D122">
        <v>2</v>
      </c>
      <c r="E122">
        <v>45608948</v>
      </c>
      <c r="F122">
        <v>674056</v>
      </c>
      <c r="G122">
        <v>456225</v>
      </c>
      <c r="H122">
        <v>954435</v>
      </c>
      <c r="I122">
        <v>2075066</v>
      </c>
      <c r="J122">
        <v>1483724</v>
      </c>
      <c r="K122">
        <v>2778664</v>
      </c>
      <c r="L122">
        <v>294361.364382</v>
      </c>
      <c r="M122">
        <v>149412.430368</v>
      </c>
      <c r="N122">
        <v>505809.48548999999</v>
      </c>
      <c r="O122">
        <v>8.7216360171999998</v>
      </c>
      <c r="P122">
        <v>0.79287200597600005</v>
      </c>
      <c r="Q122">
        <v>28.8175385939</v>
      </c>
      <c r="R122">
        <v>76.106330999999997</v>
      </c>
      <c r="S122">
        <v>21.157371999999999</v>
      </c>
      <c r="T122">
        <v>189.13654</v>
      </c>
      <c r="U122">
        <v>179579.51999999999</v>
      </c>
      <c r="V122">
        <v>58412.445</v>
      </c>
      <c r="W122">
        <v>417797.66</v>
      </c>
      <c r="X122">
        <v>69763</v>
      </c>
    </row>
    <row r="123" spans="1:24" x14ac:dyDescent="0.2">
      <c r="A123" t="s">
        <v>237</v>
      </c>
      <c r="B123" t="s">
        <v>395</v>
      </c>
      <c r="C123">
        <v>240</v>
      </c>
      <c r="D123">
        <v>3</v>
      </c>
      <c r="E123">
        <v>66536608</v>
      </c>
      <c r="F123">
        <v>1903694</v>
      </c>
      <c r="G123">
        <v>1373605</v>
      </c>
      <c r="H123">
        <v>2621098</v>
      </c>
      <c r="I123">
        <v>5823012</v>
      </c>
      <c r="J123">
        <v>4424859</v>
      </c>
      <c r="K123">
        <v>7596099</v>
      </c>
      <c r="L123">
        <v>1486356.7759799999</v>
      </c>
      <c r="M123">
        <v>948031.44996999996</v>
      </c>
      <c r="N123">
        <v>2171636.4185000001</v>
      </c>
      <c r="O123">
        <v>230.93843966899999</v>
      </c>
      <c r="P123">
        <v>110.963511817</v>
      </c>
      <c r="Q123">
        <v>363.34091207699998</v>
      </c>
      <c r="R123">
        <v>245.71959000000001</v>
      </c>
      <c r="S123">
        <v>79.1922</v>
      </c>
      <c r="T123">
        <v>584.38593000000003</v>
      </c>
      <c r="U123">
        <v>1687362.9</v>
      </c>
      <c r="V123">
        <v>692767.63</v>
      </c>
      <c r="W123">
        <v>3478186.3</v>
      </c>
      <c r="X123">
        <v>1258420</v>
      </c>
    </row>
    <row r="124" spans="1:24" x14ac:dyDescent="0.2">
      <c r="A124" t="s">
        <v>173</v>
      </c>
      <c r="B124" t="s">
        <v>323</v>
      </c>
      <c r="C124">
        <v>90</v>
      </c>
      <c r="D124">
        <v>2</v>
      </c>
      <c r="E124">
        <v>1693931</v>
      </c>
      <c r="F124">
        <v>46476</v>
      </c>
      <c r="G124">
        <v>27000</v>
      </c>
      <c r="H124">
        <v>76385</v>
      </c>
      <c r="I124">
        <v>141685</v>
      </c>
      <c r="J124">
        <v>90603</v>
      </c>
      <c r="K124">
        <v>214567</v>
      </c>
      <c r="L124">
        <v>24910.3161483</v>
      </c>
      <c r="M124">
        <v>16716.4923624</v>
      </c>
      <c r="N124">
        <v>35043.0656351</v>
      </c>
      <c r="O124">
        <v>0.79883178410199995</v>
      </c>
      <c r="P124">
        <v>5.3103522000799999E-2</v>
      </c>
      <c r="Q124">
        <v>3.50629152551</v>
      </c>
      <c r="R124">
        <v>9.2290601999999993</v>
      </c>
      <c r="S124">
        <v>3.3751204000000001</v>
      </c>
      <c r="T124">
        <v>20.720103999999999</v>
      </c>
      <c r="U124">
        <v>21782.109</v>
      </c>
      <c r="V124">
        <v>9503.3544999999995</v>
      </c>
      <c r="W124">
        <v>43389.601999999999</v>
      </c>
      <c r="X124">
        <v>11384</v>
      </c>
    </row>
    <row r="125" spans="1:24" x14ac:dyDescent="0.2">
      <c r="A125" t="s">
        <v>238</v>
      </c>
      <c r="B125" t="s">
        <v>396</v>
      </c>
      <c r="C125">
        <v>242</v>
      </c>
      <c r="D125">
        <v>3</v>
      </c>
      <c r="E125">
        <v>1087655.125</v>
      </c>
      <c r="F125">
        <v>14586</v>
      </c>
      <c r="G125">
        <v>8141</v>
      </c>
      <c r="H125">
        <v>22488</v>
      </c>
      <c r="I125">
        <v>45345</v>
      </c>
      <c r="J125">
        <v>27395</v>
      </c>
      <c r="K125">
        <v>65380</v>
      </c>
      <c r="L125">
        <v>7414.8781586300001</v>
      </c>
      <c r="M125">
        <v>4150.7533626699997</v>
      </c>
      <c r="N125">
        <v>11901.364368099999</v>
      </c>
      <c r="O125">
        <v>1.6793994084899999</v>
      </c>
      <c r="P125">
        <v>0.18960820785800001</v>
      </c>
      <c r="Q125">
        <v>7.4791867615100003</v>
      </c>
      <c r="R125">
        <v>19.343966000000002</v>
      </c>
      <c r="S125">
        <v>1.3006036000000001</v>
      </c>
      <c r="T125">
        <v>83.894524000000004</v>
      </c>
      <c r="U125">
        <v>9853.6797000000006</v>
      </c>
      <c r="V125">
        <v>4175.3056999999999</v>
      </c>
      <c r="W125">
        <v>20027.157999999999</v>
      </c>
      <c r="X125">
        <v>7535</v>
      </c>
    </row>
    <row r="126" spans="1:24" x14ac:dyDescent="0.2">
      <c r="A126" t="s">
        <v>239</v>
      </c>
      <c r="B126" t="s">
        <v>397</v>
      </c>
      <c r="C126">
        <v>243</v>
      </c>
      <c r="D126">
        <v>2</v>
      </c>
      <c r="E126">
        <v>6356214.75</v>
      </c>
      <c r="F126">
        <v>189659</v>
      </c>
      <c r="G126">
        <v>132343</v>
      </c>
      <c r="H126">
        <v>268471</v>
      </c>
      <c r="I126">
        <v>578418</v>
      </c>
      <c r="J126">
        <v>429007</v>
      </c>
      <c r="K126">
        <v>770252</v>
      </c>
      <c r="L126">
        <v>70803.908394700004</v>
      </c>
      <c r="M126">
        <v>44938.408540800003</v>
      </c>
      <c r="N126">
        <v>103822.817391</v>
      </c>
      <c r="O126">
        <v>1.98094980958</v>
      </c>
      <c r="P126">
        <v>0.16040731269</v>
      </c>
      <c r="Q126">
        <v>7.2223745441</v>
      </c>
      <c r="R126">
        <v>26.353719999999999</v>
      </c>
      <c r="S126">
        <v>9.4521055</v>
      </c>
      <c r="T126">
        <v>59.934463999999998</v>
      </c>
      <c r="U126">
        <v>62198.688000000002</v>
      </c>
      <c r="V126">
        <v>26504.317999999999</v>
      </c>
      <c r="W126">
        <v>125877.98</v>
      </c>
      <c r="X126">
        <v>26102</v>
      </c>
    </row>
    <row r="127" spans="1:24" x14ac:dyDescent="0.2">
      <c r="A127" t="s">
        <v>240</v>
      </c>
      <c r="B127" t="s">
        <v>398</v>
      </c>
      <c r="C127">
        <v>244</v>
      </c>
      <c r="D127">
        <v>4</v>
      </c>
      <c r="E127" t="s">
        <v>128</v>
      </c>
      <c r="F127">
        <v>32</v>
      </c>
      <c r="G127">
        <v>8</v>
      </c>
      <c r="H127">
        <v>76</v>
      </c>
      <c r="I127">
        <v>96</v>
      </c>
      <c r="J127">
        <v>32</v>
      </c>
      <c r="K127">
        <v>205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1.8773543E-2</v>
      </c>
      <c r="S127">
        <v>6.1161849999999997E-3</v>
      </c>
      <c r="T127">
        <v>4.4398124999999997E-2</v>
      </c>
      <c r="U127">
        <v>44.305931000000001</v>
      </c>
      <c r="V127">
        <v>17.197818999999999</v>
      </c>
      <c r="W127">
        <v>94.074935999999994</v>
      </c>
      <c r="X127">
        <v>32</v>
      </c>
    </row>
    <row r="128" spans="1:24" x14ac:dyDescent="0.2">
      <c r="A128" t="s">
        <v>241</v>
      </c>
      <c r="B128" t="s">
        <v>399</v>
      </c>
      <c r="C128">
        <v>245</v>
      </c>
      <c r="D128">
        <v>4</v>
      </c>
      <c r="E128">
        <v>104287.85159999999</v>
      </c>
      <c r="F128">
        <v>3494</v>
      </c>
      <c r="G128">
        <v>1938</v>
      </c>
      <c r="H128">
        <v>5852</v>
      </c>
      <c r="I128">
        <v>10584</v>
      </c>
      <c r="J128">
        <v>6528</v>
      </c>
      <c r="K128">
        <v>16323</v>
      </c>
      <c r="L128">
        <v>2338.8271749199998</v>
      </c>
      <c r="M128">
        <v>1424.8193427399999</v>
      </c>
      <c r="N128">
        <v>3532.6263937399999</v>
      </c>
      <c r="O128">
        <v>2.65288754492</v>
      </c>
      <c r="P128">
        <v>0.48934088901400002</v>
      </c>
      <c r="Q128">
        <v>6.6359129040999996</v>
      </c>
      <c r="R128">
        <v>1.0973811</v>
      </c>
      <c r="S128">
        <v>0.38045886000000001</v>
      </c>
      <c r="T128">
        <v>2.5286564999999999</v>
      </c>
      <c r="U128">
        <v>2589.9438</v>
      </c>
      <c r="V128">
        <v>1070.0056</v>
      </c>
      <c r="W128">
        <v>5323.415</v>
      </c>
      <c r="X128">
        <v>1930</v>
      </c>
    </row>
    <row r="129" spans="1:24" x14ac:dyDescent="0.2">
      <c r="A129" t="s">
        <v>242</v>
      </c>
      <c r="B129" t="s">
        <v>400</v>
      </c>
      <c r="C129">
        <v>246</v>
      </c>
      <c r="D129">
        <v>1</v>
      </c>
      <c r="E129">
        <v>1329072.25</v>
      </c>
      <c r="F129">
        <v>48180</v>
      </c>
      <c r="G129">
        <v>31084</v>
      </c>
      <c r="H129">
        <v>72602</v>
      </c>
      <c r="I129">
        <v>145572</v>
      </c>
      <c r="J129">
        <v>101375</v>
      </c>
      <c r="K129">
        <v>205512</v>
      </c>
      <c r="L129">
        <v>52442.383770300003</v>
      </c>
      <c r="M129">
        <v>32779.134281400002</v>
      </c>
      <c r="N129">
        <v>77761.618783400001</v>
      </c>
      <c r="O129">
        <v>28.515358871899998</v>
      </c>
      <c r="P129">
        <v>15.4887760465</v>
      </c>
      <c r="Q129">
        <v>42.108415616800002</v>
      </c>
      <c r="R129">
        <v>3.4380554999999999</v>
      </c>
      <c r="S129">
        <v>8.8603973000000003E-2</v>
      </c>
      <c r="T129">
        <v>22.968312999999998</v>
      </c>
      <c r="U129">
        <v>8886.0097999999998</v>
      </c>
      <c r="V129">
        <v>1496.3616999999999</v>
      </c>
      <c r="W129">
        <v>29564.201000000001</v>
      </c>
      <c r="X129">
        <v>6632</v>
      </c>
    </row>
    <row r="130" spans="1:24" x14ac:dyDescent="0.2">
      <c r="A130" t="s">
        <v>243</v>
      </c>
      <c r="B130" t="s">
        <v>401</v>
      </c>
      <c r="C130">
        <v>250</v>
      </c>
      <c r="D130">
        <v>3</v>
      </c>
      <c r="E130">
        <v>5050974.5</v>
      </c>
      <c r="F130">
        <v>21770</v>
      </c>
      <c r="G130">
        <v>8698</v>
      </c>
      <c r="H130">
        <v>39089</v>
      </c>
      <c r="I130">
        <v>68326</v>
      </c>
      <c r="J130">
        <v>31473</v>
      </c>
      <c r="K130">
        <v>111794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8.9186487000000003</v>
      </c>
      <c r="S130">
        <v>2.5575054000000002</v>
      </c>
      <c r="T130">
        <v>21.997591</v>
      </c>
      <c r="U130">
        <v>21045.383000000002</v>
      </c>
      <c r="V130">
        <v>7107.5181000000002</v>
      </c>
      <c r="W130">
        <v>48417.285000000003</v>
      </c>
      <c r="X130">
        <v>9826</v>
      </c>
    </row>
    <row r="131" spans="1:24" x14ac:dyDescent="0.2">
      <c r="A131" t="s">
        <v>244</v>
      </c>
      <c r="B131" t="s">
        <v>402</v>
      </c>
      <c r="C131">
        <v>251</v>
      </c>
      <c r="D131">
        <v>1</v>
      </c>
      <c r="E131" t="s">
        <v>128</v>
      </c>
      <c r="F131">
        <v>563</v>
      </c>
      <c r="G131">
        <v>230</v>
      </c>
      <c r="H131">
        <v>1095</v>
      </c>
      <c r="I131">
        <v>1746</v>
      </c>
      <c r="J131">
        <v>849</v>
      </c>
      <c r="K131">
        <v>3051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0.22220448000000001</v>
      </c>
      <c r="S131">
        <v>6.7297116000000004E-2</v>
      </c>
      <c r="T131">
        <v>0.54210358999999997</v>
      </c>
      <c r="U131">
        <v>524.22595000000001</v>
      </c>
      <c r="V131">
        <v>186.65358000000001</v>
      </c>
      <c r="W131">
        <v>1227.9557</v>
      </c>
      <c r="X131">
        <v>393</v>
      </c>
    </row>
    <row r="132" spans="1:24" x14ac:dyDescent="0.2">
      <c r="A132" t="s">
        <v>245</v>
      </c>
      <c r="B132" t="s">
        <v>403</v>
      </c>
      <c r="C132">
        <v>252</v>
      </c>
      <c r="D132">
        <v>4</v>
      </c>
      <c r="E132" t="s">
        <v>128</v>
      </c>
      <c r="F132">
        <v>155</v>
      </c>
      <c r="G132">
        <v>48</v>
      </c>
      <c r="H132">
        <v>348</v>
      </c>
      <c r="I132">
        <v>488</v>
      </c>
      <c r="J132">
        <v>188</v>
      </c>
      <c r="K132">
        <v>968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0.13406182999999999</v>
      </c>
      <c r="S132">
        <v>4.3675669E-2</v>
      </c>
      <c r="T132">
        <v>0.31704691000000002</v>
      </c>
      <c r="U132">
        <v>316.38855000000001</v>
      </c>
      <c r="V132">
        <v>122.80959</v>
      </c>
      <c r="W132">
        <v>671.78894000000003</v>
      </c>
      <c r="X132">
        <v>235</v>
      </c>
    </row>
    <row r="133" spans="1:24" x14ac:dyDescent="0.2">
      <c r="A133" t="s">
        <v>246</v>
      </c>
      <c r="B133" t="s">
        <v>404</v>
      </c>
      <c r="C133">
        <v>253</v>
      </c>
      <c r="D133">
        <v>2</v>
      </c>
      <c r="E133">
        <v>33351585</v>
      </c>
      <c r="F133">
        <v>602260</v>
      </c>
      <c r="G133">
        <v>395846</v>
      </c>
      <c r="H133">
        <v>859315</v>
      </c>
      <c r="I133">
        <v>1862790</v>
      </c>
      <c r="J133">
        <v>1297641</v>
      </c>
      <c r="K133">
        <v>2511403</v>
      </c>
      <c r="L133">
        <v>367752.00203500001</v>
      </c>
      <c r="M133">
        <v>231187.35623400001</v>
      </c>
      <c r="N133">
        <v>543031.02540100005</v>
      </c>
      <c r="O133">
        <v>13.5574339864</v>
      </c>
      <c r="P133">
        <v>0.90837021966300002</v>
      </c>
      <c r="Q133">
        <v>52.2525626575</v>
      </c>
      <c r="R133">
        <v>93.581406000000001</v>
      </c>
      <c r="S133">
        <v>30.483993999999999</v>
      </c>
      <c r="T133">
        <v>221.32177999999999</v>
      </c>
      <c r="U133">
        <v>220853.94</v>
      </c>
      <c r="V133">
        <v>85717.483999999997</v>
      </c>
      <c r="W133">
        <v>468963.13</v>
      </c>
      <c r="X133">
        <v>186621</v>
      </c>
    </row>
    <row r="134" spans="1:24" x14ac:dyDescent="0.2">
      <c r="A134" t="s">
        <v>249</v>
      </c>
      <c r="B134" t="s">
        <v>407</v>
      </c>
      <c r="C134">
        <v>261</v>
      </c>
      <c r="D134">
        <v>3</v>
      </c>
      <c r="E134">
        <v>27794421</v>
      </c>
      <c r="F134">
        <v>105943</v>
      </c>
      <c r="G134">
        <v>45117</v>
      </c>
      <c r="H134">
        <v>180283</v>
      </c>
      <c r="I134">
        <v>332456</v>
      </c>
      <c r="J134">
        <v>158412</v>
      </c>
      <c r="K134">
        <v>521236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18.000813000000001</v>
      </c>
      <c r="S134">
        <v>3.2527393999999998</v>
      </c>
      <c r="T134">
        <v>55.415306000000001</v>
      </c>
      <c r="U134">
        <v>42434.535000000003</v>
      </c>
      <c r="V134">
        <v>8785.4092000000001</v>
      </c>
      <c r="W134">
        <v>129531.46</v>
      </c>
      <c r="X134">
        <v>34123</v>
      </c>
    </row>
    <row r="135" spans="1:24" x14ac:dyDescent="0.2">
      <c r="A135" t="s">
        <v>250</v>
      </c>
      <c r="B135" t="s">
        <v>408</v>
      </c>
      <c r="C135">
        <v>262</v>
      </c>
      <c r="D135">
        <v>4</v>
      </c>
      <c r="E135">
        <v>232873.46090000001</v>
      </c>
      <c r="F135">
        <v>4274</v>
      </c>
      <c r="G135">
        <v>2365</v>
      </c>
      <c r="H135">
        <v>6764</v>
      </c>
      <c r="I135">
        <v>13222</v>
      </c>
      <c r="J135">
        <v>8155</v>
      </c>
      <c r="K135">
        <v>19401</v>
      </c>
      <c r="L135">
        <v>1316.4307659900001</v>
      </c>
      <c r="M135">
        <v>777.14813021700002</v>
      </c>
      <c r="N135">
        <v>2036.32332185</v>
      </c>
      <c r="O135">
        <v>7.16329131482E-2</v>
      </c>
      <c r="P135">
        <v>2.7209574408800001E-2</v>
      </c>
      <c r="Q135">
        <v>0.19772989607899999</v>
      </c>
      <c r="R135">
        <v>1.0707126</v>
      </c>
      <c r="S135">
        <v>0.38776743000000002</v>
      </c>
      <c r="T135">
        <v>2.4254457999999999</v>
      </c>
      <c r="U135">
        <v>2527.0504999999998</v>
      </c>
      <c r="V135">
        <v>1087.4247</v>
      </c>
      <c r="W135">
        <v>5066.5775999999996</v>
      </c>
      <c r="X135">
        <v>1756</v>
      </c>
    </row>
    <row r="136" spans="1:24" x14ac:dyDescent="0.2">
      <c r="A136" t="s">
        <v>251</v>
      </c>
      <c r="B136" t="s">
        <v>409</v>
      </c>
      <c r="C136">
        <v>263</v>
      </c>
      <c r="D136">
        <v>1</v>
      </c>
      <c r="E136">
        <v>29008075</v>
      </c>
      <c r="F136">
        <v>866172</v>
      </c>
      <c r="G136">
        <v>625770</v>
      </c>
      <c r="H136">
        <v>1193623</v>
      </c>
      <c r="I136">
        <v>2634742</v>
      </c>
      <c r="J136">
        <v>2011455</v>
      </c>
      <c r="K136">
        <v>3434002</v>
      </c>
      <c r="L136">
        <v>519874.17800800002</v>
      </c>
      <c r="M136">
        <v>350783.58856499998</v>
      </c>
      <c r="N136">
        <v>730077.36065499997</v>
      </c>
      <c r="O136">
        <v>159.14578626799999</v>
      </c>
      <c r="P136">
        <v>101.119999639</v>
      </c>
      <c r="Q136">
        <v>227.452979914</v>
      </c>
      <c r="R136">
        <v>5.8324274999999997</v>
      </c>
      <c r="S136">
        <v>0.29496324000000002</v>
      </c>
      <c r="T136">
        <v>26.753413999999999</v>
      </c>
      <c r="U136">
        <v>496062.97</v>
      </c>
      <c r="V136">
        <v>215586.16</v>
      </c>
      <c r="W136">
        <v>989820.06</v>
      </c>
      <c r="X136">
        <v>366624</v>
      </c>
    </row>
    <row r="137" spans="1:24" x14ac:dyDescent="0.2">
      <c r="A137" t="s">
        <v>266</v>
      </c>
      <c r="B137" t="s">
        <v>410</v>
      </c>
      <c r="C137">
        <v>1011447</v>
      </c>
      <c r="D137">
        <v>3</v>
      </c>
      <c r="E137">
        <v>88274004</v>
      </c>
      <c r="F137">
        <v>2603443</v>
      </c>
      <c r="G137">
        <v>1890174</v>
      </c>
      <c r="H137">
        <v>3578852</v>
      </c>
      <c r="I137">
        <v>7965912</v>
      </c>
      <c r="J137">
        <v>6081413</v>
      </c>
      <c r="K137">
        <v>10371255</v>
      </c>
      <c r="L137">
        <v>1417897.0896300001</v>
      </c>
      <c r="M137">
        <v>947434.16170499998</v>
      </c>
      <c r="N137">
        <v>2000894.98114</v>
      </c>
      <c r="O137">
        <v>231.67164020199999</v>
      </c>
      <c r="P137">
        <v>84.823078118799998</v>
      </c>
      <c r="Q137">
        <v>534.93610363300002</v>
      </c>
      <c r="R137">
        <v>77.648582000000005</v>
      </c>
      <c r="S137">
        <v>21.123352000000001</v>
      </c>
      <c r="T137">
        <v>189.11649</v>
      </c>
      <c r="U137">
        <v>2263802</v>
      </c>
      <c r="V137">
        <v>933938.19</v>
      </c>
      <c r="W137">
        <v>4656086.5</v>
      </c>
      <c r="X137">
        <v>2103412</v>
      </c>
    </row>
    <row r="138" spans="1:24" x14ac:dyDescent="0.2">
      <c r="A138" t="s">
        <v>142</v>
      </c>
      <c r="B138" t="s">
        <v>291</v>
      </c>
      <c r="C138">
        <v>39</v>
      </c>
      <c r="D138">
        <v>1</v>
      </c>
      <c r="E138" t="s">
        <v>128</v>
      </c>
      <c r="F138">
        <v>664</v>
      </c>
      <c r="G138">
        <v>298</v>
      </c>
      <c r="H138">
        <v>1252</v>
      </c>
      <c r="I138">
        <v>2014</v>
      </c>
      <c r="J138">
        <v>1056</v>
      </c>
      <c r="K138">
        <v>3445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0.21939822</v>
      </c>
      <c r="S138">
        <v>6.6447213000000005E-2</v>
      </c>
      <c r="T138">
        <v>0.53525727999999995</v>
      </c>
      <c r="U138">
        <v>517.60541000000001</v>
      </c>
      <c r="V138">
        <v>184.2963</v>
      </c>
      <c r="W138">
        <v>1212.4476</v>
      </c>
      <c r="X138">
        <v>373</v>
      </c>
    </row>
    <row r="139" spans="1:24" x14ac:dyDescent="0.2">
      <c r="A139" t="s">
        <v>248</v>
      </c>
      <c r="B139" t="s">
        <v>406</v>
      </c>
      <c r="C139">
        <v>258</v>
      </c>
      <c r="D139">
        <v>1</v>
      </c>
      <c r="E139" t="s">
        <v>128</v>
      </c>
      <c r="F139">
        <v>3885</v>
      </c>
      <c r="G139">
        <v>1900</v>
      </c>
      <c r="H139">
        <v>6977</v>
      </c>
      <c r="I139">
        <v>11748</v>
      </c>
      <c r="J139">
        <v>6571</v>
      </c>
      <c r="K139">
        <v>19306</v>
      </c>
      <c r="L139">
        <v>2399.9615118800002</v>
      </c>
      <c r="M139">
        <v>1512.41885009</v>
      </c>
      <c r="N139">
        <v>3537.54768302</v>
      </c>
      <c r="O139">
        <v>1.5112781716899999</v>
      </c>
      <c r="P139">
        <v>0.39922505568400002</v>
      </c>
      <c r="Q139">
        <v>2.8082273815100001</v>
      </c>
      <c r="R139">
        <v>0.70315516</v>
      </c>
      <c r="S139">
        <v>0.21295844</v>
      </c>
      <c r="T139">
        <v>1.7154602999999999</v>
      </c>
      <c r="U139">
        <v>1658.8871999999999</v>
      </c>
      <c r="V139">
        <v>590.65612999999996</v>
      </c>
      <c r="W139">
        <v>3885.8056999999999</v>
      </c>
      <c r="X139">
        <v>1242</v>
      </c>
    </row>
    <row r="140" spans="1:24" x14ac:dyDescent="0.2">
      <c r="A140" t="s">
        <v>252</v>
      </c>
      <c r="B140" t="s">
        <v>411</v>
      </c>
      <c r="C140">
        <v>266</v>
      </c>
      <c r="D140">
        <v>4</v>
      </c>
      <c r="E140" t="s">
        <v>128</v>
      </c>
      <c r="F140">
        <v>488</v>
      </c>
      <c r="G140">
        <v>242</v>
      </c>
      <c r="H140">
        <v>860</v>
      </c>
      <c r="I140">
        <v>1487</v>
      </c>
      <c r="J140">
        <v>843</v>
      </c>
      <c r="K140">
        <v>2408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0.2112329</v>
      </c>
      <c r="S140">
        <v>6.8817033999999999E-2</v>
      </c>
      <c r="T140">
        <v>0.49955115</v>
      </c>
      <c r="U140">
        <v>498.51382000000001</v>
      </c>
      <c r="V140">
        <v>193.50344999999999</v>
      </c>
      <c r="W140">
        <v>1058.4961000000001</v>
      </c>
      <c r="X140">
        <v>373</v>
      </c>
    </row>
    <row r="141" spans="1:24" x14ac:dyDescent="0.2">
      <c r="A141" t="s">
        <v>253</v>
      </c>
      <c r="B141" t="s">
        <v>412</v>
      </c>
      <c r="C141">
        <v>269</v>
      </c>
      <c r="D141">
        <v>3</v>
      </c>
      <c r="E141">
        <v>23335903</v>
      </c>
      <c r="F141">
        <v>222930</v>
      </c>
      <c r="G141">
        <v>141959</v>
      </c>
      <c r="H141">
        <v>324076</v>
      </c>
      <c r="I141">
        <v>689860</v>
      </c>
      <c r="J141">
        <v>465642</v>
      </c>
      <c r="K141">
        <v>945429</v>
      </c>
      <c r="L141">
        <v>139619.19304700001</v>
      </c>
      <c r="M141">
        <v>67499.695095000003</v>
      </c>
      <c r="N141">
        <v>246661.802929</v>
      </c>
      <c r="O141">
        <v>0.16149840927299999</v>
      </c>
      <c r="P141">
        <v>4.5514952641700003E-2</v>
      </c>
      <c r="Q141">
        <v>0.33572671881299998</v>
      </c>
      <c r="R141">
        <v>45.748463000000001</v>
      </c>
      <c r="S141">
        <v>13.678872999999999</v>
      </c>
      <c r="T141">
        <v>111.94016999999999</v>
      </c>
      <c r="U141">
        <v>107957.53</v>
      </c>
      <c r="V141">
        <v>37772.754000000001</v>
      </c>
      <c r="W141">
        <v>242680.89</v>
      </c>
      <c r="X141">
        <v>78382</v>
      </c>
    </row>
    <row r="142" spans="1:24" x14ac:dyDescent="0.2">
      <c r="A142" t="s">
        <v>254</v>
      </c>
      <c r="B142" t="s">
        <v>413</v>
      </c>
      <c r="C142">
        <v>270</v>
      </c>
      <c r="D142">
        <v>2</v>
      </c>
      <c r="E142">
        <v>13836581.5</v>
      </c>
      <c r="F142">
        <v>148229</v>
      </c>
      <c r="G142">
        <v>94049</v>
      </c>
      <c r="H142">
        <v>215850</v>
      </c>
      <c r="I142">
        <v>458423</v>
      </c>
      <c r="J142">
        <v>310077</v>
      </c>
      <c r="K142">
        <v>628782</v>
      </c>
      <c r="L142">
        <v>75091.414591799999</v>
      </c>
      <c r="M142">
        <v>34543.869786800002</v>
      </c>
      <c r="N142">
        <v>136667.082452</v>
      </c>
      <c r="O142">
        <v>1.7740041262499999</v>
      </c>
      <c r="P142">
        <v>0.179166872423</v>
      </c>
      <c r="Q142">
        <v>5.6755119157699996</v>
      </c>
      <c r="R142">
        <v>17.475442999999999</v>
      </c>
      <c r="S142">
        <v>4.3936386000000001</v>
      </c>
      <c r="T142">
        <v>45.768543000000001</v>
      </c>
      <c r="U142">
        <v>41227.608999999997</v>
      </c>
      <c r="V142">
        <v>11841.427</v>
      </c>
      <c r="W142">
        <v>101878.86</v>
      </c>
      <c r="X142">
        <v>33887</v>
      </c>
    </row>
    <row r="143" spans="1:24" x14ac:dyDescent="0.2">
      <c r="A143" t="s">
        <v>255</v>
      </c>
      <c r="B143" t="s">
        <v>414</v>
      </c>
      <c r="C143">
        <v>271</v>
      </c>
      <c r="D143">
        <v>2</v>
      </c>
      <c r="E143">
        <v>13724556.5</v>
      </c>
      <c r="F143">
        <v>80075</v>
      </c>
      <c r="G143">
        <v>38569</v>
      </c>
      <c r="H143">
        <v>129836</v>
      </c>
      <c r="I143">
        <v>250485</v>
      </c>
      <c r="J143">
        <v>131542</v>
      </c>
      <c r="K143">
        <v>377858</v>
      </c>
      <c r="L143">
        <v>61585.485174100002</v>
      </c>
      <c r="M143">
        <v>25794.112638099999</v>
      </c>
      <c r="N143">
        <v>119298.794245</v>
      </c>
      <c r="O143">
        <v>0.49628609716099997</v>
      </c>
      <c r="P143">
        <v>4.0738992341900003E-2</v>
      </c>
      <c r="Q143">
        <v>1.72734958969</v>
      </c>
      <c r="R143">
        <v>18.005869000000001</v>
      </c>
      <c r="S143">
        <v>4.6516590000000004</v>
      </c>
      <c r="T143">
        <v>46.535110000000003</v>
      </c>
      <c r="U143">
        <v>42480.987999999998</v>
      </c>
      <c r="V143">
        <v>12583.939</v>
      </c>
      <c r="W143">
        <v>102992.47</v>
      </c>
      <c r="X143">
        <v>22917</v>
      </c>
    </row>
  </sheetData>
  <sortState ref="A3:M143">
    <sortCondition ref="A3:A143"/>
  </sortState>
  <mergeCells count="3">
    <mergeCell ref="F1:K1"/>
    <mergeCell ref="L1:Q1"/>
    <mergeCell ref="R1:X1"/>
  </mergeCell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1.1. Routine surveillance data</vt:lpstr>
      <vt:lpstr>1.2. Completeness analysis</vt:lpstr>
      <vt:lpstr>1.3. Over-diagnosis analysis</vt:lpstr>
      <vt:lpstr>1.4. Under-diagnosis analysis</vt:lpstr>
      <vt:lpstr>1.5. Febrile cohorts</vt:lpstr>
      <vt:lpstr>1.6. Seroprevalence surveys</vt:lpstr>
      <vt:lpstr>FINAL BURDEN ESTIMATION</vt:lpstr>
      <vt:lpstr>Modelled burden 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Brady</dc:creator>
  <cp:lastModifiedBy>Oliver Brady</cp:lastModifiedBy>
  <dcterms:created xsi:type="dcterms:W3CDTF">2017-01-11T12:46:54Z</dcterms:created>
  <dcterms:modified xsi:type="dcterms:W3CDTF">2018-05-07T14:44:59Z</dcterms:modified>
</cp:coreProperties>
</file>